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-15" yWindow="-15" windowWidth="14415" windowHeight="12795"/>
  </bookViews>
  <sheets>
    <sheet name="Planilha Orçamentária" sheetId="3" r:id="rId1"/>
    <sheet name="Composição do BDI" sheetId="5" r:id="rId2"/>
    <sheet name="Cronograma Físico-Financeiro" sheetId="4" r:id="rId3"/>
    <sheet name="Orçamento Sintético" sheetId="2" r:id="rId4"/>
    <sheet name="CAPA" sheetId="1" r:id="rId5"/>
  </sheets>
  <definedNames>
    <definedName name="\0">#REF!</definedName>
    <definedName name="_A100935">#REF!</definedName>
    <definedName name="_A1009350">#REF!</definedName>
    <definedName name="_BD2">#REF!</definedName>
    <definedName name="_MAT1">#REF!</definedName>
    <definedName name="A">#REF!</definedName>
    <definedName name="_xlnm.Print_Area" localSheetId="4">CAPA!$A$1:$E$29</definedName>
    <definedName name="_xlnm.Print_Area" localSheetId="1">'Composição do BDI'!$A$1:$J$38</definedName>
    <definedName name="_xlnm.Print_Area" localSheetId="2">'Cronograma Físico-Financeiro'!$A$1:$I$36</definedName>
    <definedName name="_xlnm.Print_Area" localSheetId="3">'Orçamento Sintético'!$A$1:$G$30</definedName>
    <definedName name="_xlnm.Print_Area" localSheetId="0">'Planilha Orçamentária'!$A$1:$L$166</definedName>
    <definedName name="_xlnm.Print_Area">#REF!</definedName>
    <definedName name="Área_impressão_IM">#REF!</definedName>
    <definedName name="BANCO">#REF!</definedName>
    <definedName name="bdi">#REF!</definedName>
    <definedName name="Bomba_putzmeister">#REF!</definedName>
    <definedName name="Código">#REF!</definedName>
    <definedName name="EQPTO">#REF!</definedName>
    <definedName name="ESCAV.MEC.CLAM.SHEL.DEP.LAT">#REF!</definedName>
    <definedName name="ESCAV.MEC.RETRO.DEP.LAT">#REF!</definedName>
    <definedName name="Excel_BuiltIn_Print_Area_1_1">#REF!</definedName>
    <definedName name="gen">#REF!</definedName>
    <definedName name="insumos">#REF!</definedName>
    <definedName name="ITEM">#REF!</definedName>
    <definedName name="MAT">#REF!</definedName>
    <definedName name="MO">#REF!</definedName>
    <definedName name="PL_ABC">#REF!</definedName>
    <definedName name="planilha">#REF!</definedName>
    <definedName name="RES_CPS">#REF!</definedName>
    <definedName name="serv">#REF!</definedName>
    <definedName name="tab">#REF!</definedName>
    <definedName name="_xlnm.Print_Titles" localSheetId="2">'Cronograma Físico-Financeiro'!$16:$16</definedName>
    <definedName name="_xlnm.Print_Titles" localSheetId="3">'Orçamento Sintético'!$17:$17</definedName>
    <definedName name="_xlnm.Print_Titles" localSheetId="0">'Planilha Orçamentária'!$17:$19</definedName>
    <definedName name="total">#REF!</definedName>
    <definedName name="Z_77FD295D_1BCD_41C6_B306_76E0FF93C8E4_.wvu.Cols" localSheetId="3" hidden="1">'Orçamento Sintético'!$C:$E</definedName>
    <definedName name="Z_77FD295D_1BCD_41C6_B306_76E0FF93C8E4_.wvu.PrintArea" localSheetId="4" hidden="1">CAPA!$A$6:$E$29</definedName>
    <definedName name="Z_77FD295D_1BCD_41C6_B306_76E0FF93C8E4_.wvu.PrintArea" localSheetId="2" hidden="1">'Cronograma Físico-Financeiro'!$A$10:$I$26</definedName>
    <definedName name="Z_77FD295D_1BCD_41C6_B306_76E0FF93C8E4_.wvu.PrintArea" localSheetId="3" hidden="1">'Orçamento Sintético'!$A$6:$G$23</definedName>
    <definedName name="Z_77FD295D_1BCD_41C6_B306_76E0FF93C8E4_.wvu.PrintArea" localSheetId="0" hidden="1">'Planilha Orçamentária'!$A$1:$M$131</definedName>
    <definedName name="Z_77FD295D_1BCD_41C6_B306_76E0FF93C8E4_.wvu.PrintTitles" localSheetId="2" hidden="1">'Cronograma Físico-Financeiro'!$16:$16</definedName>
    <definedName name="Z_77FD295D_1BCD_41C6_B306_76E0FF93C8E4_.wvu.PrintTitles" localSheetId="3" hidden="1">'Orçamento Sintético'!$17:$17</definedName>
    <definedName name="Z_77FD295D_1BCD_41C6_B306_76E0FF93C8E4_.wvu.PrintTitles" localSheetId="0" hidden="1">'Planilha Orçamentária'!$18:$19</definedName>
  </definedNames>
  <calcPr calcId="124519"/>
  <customWorkbookViews>
    <customWorkbookView name="lucio - Modo de exibição pessoal" guid="{77FD295D-1BCD-41C6-B306-76E0FF93C8E4}" mergeInterval="0" personalView="1" maximized="1" xWindow="1" yWindow="1" windowWidth="1920" windowHeight="905" activeSheetId="3"/>
  </customWorkbookViews>
</workbook>
</file>

<file path=xl/calcChain.xml><?xml version="1.0" encoding="utf-8"?>
<calcChain xmlns="http://schemas.openxmlformats.org/spreadsheetml/2006/main">
  <c r="G24" i="5"/>
  <c r="L11" i="3" l="1"/>
  <c r="L128"/>
  <c r="L127"/>
  <c r="L125"/>
  <c r="K128"/>
  <c r="K127"/>
  <c r="K126"/>
  <c r="L126" s="1"/>
  <c r="K125"/>
  <c r="K124"/>
  <c r="L124" s="1"/>
  <c r="K129"/>
  <c r="L129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1"/>
  <c r="L111" s="1"/>
  <c r="K112"/>
  <c r="L112" s="1"/>
  <c r="K113"/>
  <c r="L113" s="1"/>
  <c r="K114"/>
  <c r="L114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7"/>
  <c r="L97" s="1"/>
  <c r="K98"/>
  <c r="L98" s="1"/>
  <c r="K96"/>
  <c r="L96" s="1"/>
  <c r="K95"/>
  <c r="L95" s="1"/>
  <c r="K94"/>
  <c r="L94" s="1"/>
  <c r="K93"/>
  <c r="L93" s="1"/>
  <c r="K92"/>
  <c r="L92" s="1"/>
  <c r="K91"/>
  <c r="L91" s="1"/>
  <c r="K90"/>
  <c r="L90" s="1"/>
  <c r="K87"/>
  <c r="L87" s="1"/>
  <c r="K86"/>
  <c r="L86" s="1"/>
  <c r="K85"/>
  <c r="L85" s="1"/>
  <c r="K84"/>
  <c r="L84" s="1"/>
  <c r="K82"/>
  <c r="L82" s="1"/>
  <c r="K83"/>
  <c r="L83" s="1"/>
  <c r="K81"/>
  <c r="L81" s="1"/>
  <c r="K80"/>
  <c r="L80" s="1"/>
  <c r="K79"/>
  <c r="L79" s="1"/>
  <c r="K77"/>
  <c r="L77" s="1"/>
  <c r="K76"/>
  <c r="L76" s="1"/>
  <c r="K75"/>
  <c r="L75" s="1"/>
  <c r="K73"/>
  <c r="L73" s="1"/>
  <c r="K74"/>
  <c r="L74" s="1"/>
  <c r="K72"/>
  <c r="L72" s="1"/>
  <c r="K71"/>
  <c r="L71" s="1"/>
  <c r="K70"/>
  <c r="L70" s="1"/>
  <c r="K69"/>
  <c r="L69" s="1"/>
  <c r="K68"/>
  <c r="L68" s="1"/>
  <c r="K67"/>
  <c r="L67" s="1"/>
  <c r="K66"/>
  <c r="L66" s="1"/>
  <c r="K65"/>
  <c r="L65" s="1"/>
  <c r="K64"/>
  <c r="L64" s="1"/>
  <c r="K63"/>
  <c r="L63" s="1"/>
  <c r="K62"/>
  <c r="L62" s="1"/>
  <c r="K61"/>
  <c r="L61" s="1"/>
  <c r="K60"/>
  <c r="L60" s="1"/>
  <c r="K59"/>
  <c r="L59" s="1"/>
  <c r="K58"/>
  <c r="L58" s="1"/>
  <c r="K78"/>
  <c r="L78" s="1"/>
  <c r="L52"/>
  <c r="K55"/>
  <c r="L55" s="1"/>
  <c r="K54"/>
  <c r="L54" s="1"/>
  <c r="K53"/>
  <c r="L53" s="1"/>
  <c r="K52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8"/>
  <c r="L38" s="1"/>
  <c r="K37"/>
  <c r="L37" s="1"/>
  <c r="K36"/>
  <c r="L36" s="1"/>
  <c r="K39"/>
  <c r="L39" s="1"/>
  <c r="K35"/>
  <c r="L35" s="1"/>
  <c r="K31"/>
  <c r="L31" s="1"/>
  <c r="K32"/>
  <c r="K33"/>
  <c r="L33" s="1"/>
  <c r="K34"/>
  <c r="L34" s="1"/>
  <c r="K28"/>
  <c r="L28" s="1"/>
  <c r="K27"/>
  <c r="L27" s="1"/>
  <c r="K26"/>
  <c r="L26" s="1"/>
  <c r="K25"/>
  <c r="L25" s="1"/>
  <c r="K23"/>
  <c r="L23" s="1"/>
  <c r="K24"/>
  <c r="L24" s="1"/>
  <c r="K22"/>
  <c r="L22" s="1"/>
  <c r="A5" i="5"/>
  <c r="A32"/>
  <c r="A31"/>
  <c r="D9"/>
  <c r="B8"/>
  <c r="A7"/>
  <c r="A4"/>
  <c r="L14" i="3"/>
  <c r="G19" s="1"/>
  <c r="N12"/>
  <c r="C14" s="1"/>
  <c r="A4" i="1"/>
  <c r="A3" i="4"/>
  <c r="A4" i="2"/>
  <c r="B12" i="1"/>
  <c r="B13"/>
  <c r="B8" i="4"/>
  <c r="A34"/>
  <c r="F12" i="2"/>
  <c r="F11"/>
  <c r="A7"/>
  <c r="A6"/>
  <c r="D13" i="1"/>
  <c r="C7"/>
  <c r="C9" i="4"/>
  <c r="E16" s="1"/>
  <c r="A33"/>
  <c r="A29" i="2"/>
  <c r="A28"/>
  <c r="A23" i="1"/>
  <c r="A22"/>
  <c r="B10" i="2"/>
  <c r="I24" i="4"/>
  <c r="H24"/>
  <c r="G24"/>
  <c r="F24"/>
  <c r="E24"/>
  <c r="A11"/>
  <c r="D12" i="1"/>
  <c r="A7" i="4"/>
  <c r="A10" i="1"/>
  <c r="C6"/>
  <c r="K19" i="3" l="1"/>
  <c r="I93" s="1"/>
  <c r="K30"/>
  <c r="K21"/>
  <c r="K123"/>
  <c r="L32"/>
  <c r="K57"/>
  <c r="K89"/>
  <c r="I20" i="4"/>
  <c r="H19"/>
  <c r="G18"/>
  <c r="F17"/>
  <c r="D22"/>
  <c r="B16"/>
  <c r="B17"/>
  <c r="B18"/>
  <c r="B19"/>
  <c r="B20"/>
  <c r="E93" i="3" l="1"/>
  <c r="G93" s="1"/>
  <c r="M12"/>
  <c r="K12" s="1"/>
  <c r="L12" l="1"/>
  <c r="I91" l="1"/>
  <c r="I99"/>
  <c r="I107"/>
  <c r="I115"/>
  <c r="I59"/>
  <c r="I67"/>
  <c r="I75"/>
  <c r="I83"/>
  <c r="I34"/>
  <c r="I42"/>
  <c r="I50"/>
  <c r="I24"/>
  <c r="I128"/>
  <c r="I112"/>
  <c r="I39"/>
  <c r="I22"/>
  <c r="I95"/>
  <c r="I119"/>
  <c r="I79"/>
  <c r="I46"/>
  <c r="I102"/>
  <c r="I70"/>
  <c r="I45"/>
  <c r="I124"/>
  <c r="I98"/>
  <c r="I106"/>
  <c r="I114"/>
  <c r="I66"/>
  <c r="I74"/>
  <c r="I82"/>
  <c r="I33"/>
  <c r="I41"/>
  <c r="I49"/>
  <c r="I23"/>
  <c r="I104"/>
  <c r="I120"/>
  <c r="I64"/>
  <c r="I80"/>
  <c r="I58"/>
  <c r="I55"/>
  <c r="I127"/>
  <c r="I63"/>
  <c r="I38"/>
  <c r="I28"/>
  <c r="I110"/>
  <c r="I78"/>
  <c r="I53"/>
  <c r="I129"/>
  <c r="I97"/>
  <c r="I105"/>
  <c r="I113"/>
  <c r="I121"/>
  <c r="I65"/>
  <c r="I73"/>
  <c r="I81"/>
  <c r="I32"/>
  <c r="I40"/>
  <c r="I48"/>
  <c r="I31"/>
  <c r="I96"/>
  <c r="I72"/>
  <c r="I47"/>
  <c r="I94"/>
  <c r="I37"/>
  <c r="I125"/>
  <c r="I101"/>
  <c r="I109"/>
  <c r="I117"/>
  <c r="I61"/>
  <c r="I69"/>
  <c r="I77"/>
  <c r="I85"/>
  <c r="I36"/>
  <c r="I44"/>
  <c r="I52"/>
  <c r="I26"/>
  <c r="I92"/>
  <c r="I100"/>
  <c r="I108"/>
  <c r="I116"/>
  <c r="I60"/>
  <c r="I68"/>
  <c r="I76"/>
  <c r="I84"/>
  <c r="I35"/>
  <c r="I43"/>
  <c r="I51"/>
  <c r="I25"/>
  <c r="I103"/>
  <c r="I111"/>
  <c r="I71"/>
  <c r="I87"/>
  <c r="I54"/>
  <c r="I126"/>
  <c r="I118"/>
  <c r="I62"/>
  <c r="I86"/>
  <c r="I27"/>
  <c r="I90"/>
  <c r="L89"/>
  <c r="L30"/>
  <c r="I123" l="1"/>
  <c r="E124"/>
  <c r="G124" s="1"/>
  <c r="E127"/>
  <c r="G127" s="1"/>
  <c r="E125"/>
  <c r="G125" s="1"/>
  <c r="E126"/>
  <c r="G126" s="1"/>
  <c r="E128"/>
  <c r="G128" s="1"/>
  <c r="E129"/>
  <c r="G129" s="1"/>
  <c r="E91"/>
  <c r="G91" s="1"/>
  <c r="E44"/>
  <c r="G44" s="1"/>
  <c r="E74"/>
  <c r="G74" s="1"/>
  <c r="E41"/>
  <c r="G41" s="1"/>
  <c r="E68"/>
  <c r="G68" s="1"/>
  <c r="E112"/>
  <c r="G112" s="1"/>
  <c r="E66"/>
  <c r="G66" s="1"/>
  <c r="E100"/>
  <c r="G100" s="1"/>
  <c r="E50"/>
  <c r="G50" s="1"/>
  <c r="E39"/>
  <c r="G39" s="1"/>
  <c r="E115"/>
  <c r="G115" s="1"/>
  <c r="E33"/>
  <c r="G33" s="1"/>
  <c r="E120"/>
  <c r="G120" s="1"/>
  <c r="E22"/>
  <c r="G22" s="1"/>
  <c r="I21"/>
  <c r="E107"/>
  <c r="G107" s="1"/>
  <c r="E92"/>
  <c r="G92" s="1"/>
  <c r="E81"/>
  <c r="G81" s="1"/>
  <c r="E104"/>
  <c r="G104" s="1"/>
  <c r="E95"/>
  <c r="G95" s="1"/>
  <c r="E86"/>
  <c r="G86" s="1"/>
  <c r="E97"/>
  <c r="G97" s="1"/>
  <c r="E121"/>
  <c r="G121" s="1"/>
  <c r="E83"/>
  <c r="G83" s="1"/>
  <c r="E96"/>
  <c r="G96" s="1"/>
  <c r="E63"/>
  <c r="G63" s="1"/>
  <c r="E119"/>
  <c r="G119" s="1"/>
  <c r="E99"/>
  <c r="G99" s="1"/>
  <c r="E26"/>
  <c r="G26" s="1"/>
  <c r="E73"/>
  <c r="G73" s="1"/>
  <c r="E49"/>
  <c r="G49" s="1"/>
  <c r="E76"/>
  <c r="G76" s="1"/>
  <c r="E38"/>
  <c r="G38" s="1"/>
  <c r="E79"/>
  <c r="G79" s="1"/>
  <c r="E98"/>
  <c r="G98" s="1"/>
  <c r="E113"/>
  <c r="G113" s="1"/>
  <c r="E75"/>
  <c r="G75" s="1"/>
  <c r="E42"/>
  <c r="G42" s="1"/>
  <c r="E84"/>
  <c r="G84" s="1"/>
  <c r="E35"/>
  <c r="G35" s="1"/>
  <c r="E47"/>
  <c r="G47" s="1"/>
  <c r="E25"/>
  <c r="G25" s="1"/>
  <c r="E87"/>
  <c r="G87" s="1"/>
  <c r="E46"/>
  <c r="G46" s="1"/>
  <c r="E36"/>
  <c r="G36" s="1"/>
  <c r="E27"/>
  <c r="G27" s="1"/>
  <c r="E59"/>
  <c r="G59" s="1"/>
  <c r="E34"/>
  <c r="G34" s="1"/>
  <c r="E31"/>
  <c r="G31" s="1"/>
  <c r="I30"/>
  <c r="E80"/>
  <c r="G80" s="1"/>
  <c r="E37"/>
  <c r="G37" s="1"/>
  <c r="E102"/>
  <c r="G102" s="1"/>
  <c r="E105"/>
  <c r="G105" s="1"/>
  <c r="E52"/>
  <c r="G52" s="1"/>
  <c r="E65"/>
  <c r="G65" s="1"/>
  <c r="E108"/>
  <c r="G108" s="1"/>
  <c r="E32"/>
  <c r="G32" s="1"/>
  <c r="E60"/>
  <c r="G60" s="1"/>
  <c r="E48"/>
  <c r="G48" s="1"/>
  <c r="E64"/>
  <c r="G64" s="1"/>
  <c r="E43"/>
  <c r="G43" s="1"/>
  <c r="E51"/>
  <c r="G51" s="1"/>
  <c r="E94"/>
  <c r="G94" s="1"/>
  <c r="E111"/>
  <c r="G111" s="1"/>
  <c r="E71"/>
  <c r="G71" s="1"/>
  <c r="E28"/>
  <c r="G28" s="1"/>
  <c r="E69"/>
  <c r="G69" s="1"/>
  <c r="E78"/>
  <c r="G78" s="1"/>
  <c r="E70"/>
  <c r="G70" s="1"/>
  <c r="E106"/>
  <c r="G106" s="1"/>
  <c r="I89"/>
  <c r="E67"/>
  <c r="G67" s="1"/>
  <c r="E116"/>
  <c r="G116" s="1"/>
  <c r="E23"/>
  <c r="G23" s="1"/>
  <c r="E72"/>
  <c r="G72" s="1"/>
  <c r="E55"/>
  <c r="G55" s="1"/>
  <c r="E109"/>
  <c r="G109" s="1"/>
  <c r="E61"/>
  <c r="G61" s="1"/>
  <c r="E118"/>
  <c r="G118" s="1"/>
  <c r="E77"/>
  <c r="G77" s="1"/>
  <c r="E53"/>
  <c r="G53" s="1"/>
  <c r="E45"/>
  <c r="G45" s="1"/>
  <c r="E114"/>
  <c r="G114" s="1"/>
  <c r="E82"/>
  <c r="G82" s="1"/>
  <c r="E40"/>
  <c r="G40" s="1"/>
  <c r="E24"/>
  <c r="G24" s="1"/>
  <c r="E58"/>
  <c r="G58" s="1"/>
  <c r="I57"/>
  <c r="E103"/>
  <c r="G103" s="1"/>
  <c r="E101"/>
  <c r="G101" s="1"/>
  <c r="E117"/>
  <c r="G117" s="1"/>
  <c r="E54"/>
  <c r="G54" s="1"/>
  <c r="E110"/>
  <c r="G110" s="1"/>
  <c r="E62"/>
  <c r="G62" s="1"/>
  <c r="E85"/>
  <c r="G85" s="1"/>
  <c r="E90"/>
  <c r="G90" s="1"/>
  <c r="L141"/>
  <c r="L145"/>
  <c r="L143"/>
  <c r="L144"/>
  <c r="L146"/>
  <c r="L149"/>
  <c r="L142"/>
  <c r="L140"/>
  <c r="E57" l="1"/>
  <c r="G57" s="1"/>
  <c r="E89"/>
  <c r="G89" s="1"/>
  <c r="C17" i="4"/>
  <c r="F23" s="1"/>
  <c r="F19" i="2"/>
  <c r="C19" i="4"/>
  <c r="H23" s="1"/>
  <c r="F21" i="2"/>
  <c r="E30" i="3"/>
  <c r="G30" s="1"/>
  <c r="L57" l="1"/>
  <c r="C18" i="4" l="1"/>
  <c r="G23" s="1"/>
  <c r="F20" i="2"/>
  <c r="L123" i="3" l="1"/>
  <c r="L148" l="1"/>
  <c r="N147" s="1"/>
  <c r="F22" i="2"/>
  <c r="C20" i="4"/>
  <c r="I23" s="1"/>
  <c r="E123" i="3"/>
  <c r="G123" s="1"/>
  <c r="E26" i="4" l="1"/>
  <c r="F26" l="1"/>
  <c r="G26" s="1"/>
  <c r="H26" s="1"/>
  <c r="I26" s="1"/>
  <c r="L21" i="3" l="1"/>
  <c r="I131" l="1"/>
  <c r="F23" i="2" s="1"/>
  <c r="F18"/>
  <c r="C16" i="4"/>
  <c r="E21" i="3"/>
  <c r="G21" s="1"/>
  <c r="G22" i="2" l="1"/>
  <c r="G21"/>
  <c r="G20"/>
  <c r="G19"/>
  <c r="K140" i="3"/>
  <c r="K142"/>
  <c r="K144"/>
  <c r="G18" i="2"/>
  <c r="L131" i="3"/>
  <c r="K141"/>
  <c r="K148"/>
  <c r="K145"/>
  <c r="K143"/>
  <c r="L147"/>
  <c r="L151" s="1"/>
  <c r="K151" s="1"/>
  <c r="K146"/>
  <c r="K149"/>
  <c r="E16" i="1"/>
  <c r="C22" i="4"/>
  <c r="E23"/>
  <c r="E25" s="1"/>
  <c r="F25" s="1"/>
  <c r="G25" s="1"/>
  <c r="H25" s="1"/>
  <c r="I25" s="1"/>
  <c r="K147" i="3" l="1"/>
  <c r="G23" i="2"/>
</calcChain>
</file>

<file path=xl/comments1.xml><?xml version="1.0" encoding="utf-8"?>
<comments xmlns="http://schemas.openxmlformats.org/spreadsheetml/2006/main">
  <authors>
    <author>mantunes</author>
  </authors>
  <commentList>
    <comment ref="A3" authorId="0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I9" authorId="0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Insira a área estimada a ser projetada, de acordo com o programa de necessidades detalhado.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Insira o valor do SINAPI Regional.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Insira o mês e o ano de referência da coleta de preços - SINAPI REGIONAL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Insira o prazo para a execução dos projetos.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8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</commentList>
</comments>
</file>

<file path=xl/comments2.xml><?xml version="1.0" encoding="utf-8"?>
<comments xmlns="http://schemas.openxmlformats.org/spreadsheetml/2006/main">
  <authors>
    <author>lucio</author>
  </authors>
  <commentList>
    <comment ref="D15" authorId="0">
      <text>
        <r>
          <rPr>
            <sz val="9"/>
            <color indexed="81"/>
            <rFont val="Tahoma"/>
            <family val="2"/>
          </rPr>
          <t xml:space="preserve">A ser preenchido pela Administração.
</t>
        </r>
      </text>
    </comment>
  </commentList>
</comments>
</file>

<file path=xl/sharedStrings.xml><?xml version="1.0" encoding="utf-8"?>
<sst xmlns="http://schemas.openxmlformats.org/spreadsheetml/2006/main" count="426" uniqueCount="260">
  <si>
    <t>04.01</t>
  </si>
  <si>
    <t>04.08</t>
  </si>
  <si>
    <t>05.02</t>
  </si>
  <si>
    <t>ORÇAMENTO SINTÉTICO</t>
  </si>
  <si>
    <t>CÓDIGO</t>
  </si>
  <si>
    <t>DESCRIÇÃO</t>
  </si>
  <si>
    <t>UNIDADE</t>
  </si>
  <si>
    <t>QUANT.</t>
  </si>
  <si>
    <t>PREÇO(R$)</t>
  </si>
  <si>
    <t>01.01</t>
  </si>
  <si>
    <t>02.01</t>
  </si>
  <si>
    <t>02.02</t>
  </si>
  <si>
    <t>02.03</t>
  </si>
  <si>
    <t>02.04</t>
  </si>
  <si>
    <t>03.01</t>
  </si>
  <si>
    <t>03.02</t>
  </si>
  <si>
    <t>03.04</t>
  </si>
  <si>
    <t>04.02</t>
  </si>
  <si>
    <t>04.03</t>
  </si>
  <si>
    <t>04.04</t>
  </si>
  <si>
    <t>05.01</t>
  </si>
  <si>
    <t>01.00</t>
  </si>
  <si>
    <t>02.00</t>
  </si>
  <si>
    <t>03.00</t>
  </si>
  <si>
    <t>04.00</t>
  </si>
  <si>
    <t>05.00</t>
  </si>
  <si>
    <t>ITEM</t>
  </si>
  <si>
    <t>01</t>
  </si>
  <si>
    <t>02</t>
  </si>
  <si>
    <t>03</t>
  </si>
  <si>
    <t>04</t>
  </si>
  <si>
    <t>05</t>
  </si>
  <si>
    <t>PERCENTUAL SIMPLES</t>
  </si>
  <si>
    <t>PERCENTUAL ACUMULADO</t>
  </si>
  <si>
    <t>02.05</t>
  </si>
  <si>
    <t>05.03</t>
  </si>
  <si>
    <t>un</t>
  </si>
  <si>
    <t>UNID</t>
  </si>
  <si>
    <t>PLANILHA ORÇAMENTARIA</t>
  </si>
  <si>
    <t>RESUMO FINANCEIRO</t>
  </si>
  <si>
    <t>CRONOGRAMA FÍSICO-FINANCEIRO</t>
  </si>
  <si>
    <t>03.05</t>
  </si>
  <si>
    <t>03.07</t>
  </si>
  <si>
    <t>03.08</t>
  </si>
  <si>
    <t>03.09</t>
  </si>
  <si>
    <t>04.05</t>
  </si>
  <si>
    <t>04.07</t>
  </si>
  <si>
    <t>ESTUDOS PRELIMINARES</t>
  </si>
  <si>
    <t>Relatórios comparativos sobre os sistemas a serem utilizados na obra</t>
  </si>
  <si>
    <t>Relatório sobre os materiais a serem utilizados na obra, com custos comparativos e benefícios</t>
  </si>
  <si>
    <t>Partido arquitetônico adotado</t>
  </si>
  <si>
    <t>ANTEPROJETO</t>
  </si>
  <si>
    <t>PROJETO BÁSICO</t>
  </si>
  <si>
    <t>Relação das cotações de preços que não tem no SINAPI</t>
  </si>
  <si>
    <t>Pranchas de desenho – relação dos projetos / número de pranchas / CD / escalas/carimbo</t>
  </si>
  <si>
    <t>Relação dos preços paradigmas que não tem SINAPI</t>
  </si>
  <si>
    <t>PROJETO EXECUTIVO</t>
  </si>
  <si>
    <t>ART ou RRT de todos os projetos (arquitetura e complementares)</t>
  </si>
  <si>
    <t>Aprovação do projeto de arquitetura na Prefeitura</t>
  </si>
  <si>
    <t>01.02</t>
  </si>
  <si>
    <t>01.03</t>
  </si>
  <si>
    <t>01.04</t>
  </si>
  <si>
    <t>01.05</t>
  </si>
  <si>
    <t>01.06</t>
  </si>
  <si>
    <t>01.07</t>
  </si>
  <si>
    <t>. Terraplanagem</t>
  </si>
  <si>
    <t>. Fundação</t>
  </si>
  <si>
    <t>. Estrutural - Superestrutura</t>
  </si>
  <si>
    <t>. Estrutural - Cobertura</t>
  </si>
  <si>
    <t>. Esgoto sanitário</t>
  </si>
  <si>
    <t>. Instalações elétricas - Normal</t>
  </si>
  <si>
    <t>. Instalações elétricas - Estabilizada</t>
  </si>
  <si>
    <t>. Instalações elétricas - Subestação</t>
  </si>
  <si>
    <t>. Telefonia</t>
  </si>
  <si>
    <t>. Rede lógica - Sistema de Cabeamento Estruturado</t>
  </si>
  <si>
    <t>. Detecção e Alarme Contra Incêndio</t>
  </si>
  <si>
    <t>. Prevenção e Combate a Incêndio</t>
  </si>
  <si>
    <t>. Ar Condicionado</t>
  </si>
  <si>
    <t>. Supervisão Comando e Controle de Edificações (ar condic., CFTV, luz, alarme de incêndio)</t>
  </si>
  <si>
    <t>. SPDA</t>
  </si>
  <si>
    <t>. Impermeabilização</t>
  </si>
  <si>
    <t>. Gás</t>
  </si>
  <si>
    <t xml:space="preserve">Pert-CPM (Diagrama de precedencia, EAP, prazo ótimo, cronograma) </t>
  </si>
  <si>
    <t>Licença ambiental prévia</t>
  </si>
  <si>
    <t>03.03</t>
  </si>
  <si>
    <t>03.06</t>
  </si>
  <si>
    <t>04.06</t>
  </si>
  <si>
    <t>05.05</t>
  </si>
  <si>
    <t>SINAPI - VALOR REGIONAL MÉDIO DO M² DE CONSTRUÇÃO:</t>
  </si>
  <si>
    <t>CUSTO TOTAL ESTIMADO DA OBRA - CO = ((3 X SINAPI) X ÁREA):</t>
  </si>
  <si>
    <t>Estudo da legislação das concessionárias públicas locais</t>
  </si>
  <si>
    <t>Estudo da legislação de órgãos locais para obtenção de licenças ambientais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</si>
  <si>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</si>
  <si>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</si>
  <si>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</si>
  <si>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</si>
  <si>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</si>
  <si>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</si>
  <si>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</si>
  <si>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</si>
  <si>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</si>
  <si>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</si>
  <si>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</si>
  <si>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</si>
  <si>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</si>
  <si>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</si>
  <si>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</si>
  <si>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</si>
  <si>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. Elevadores (estudos para dimensionamento)</t>
  </si>
  <si>
    <t>02.22</t>
  </si>
  <si>
    <t>02.23</t>
  </si>
  <si>
    <t>02.24</t>
  </si>
  <si>
    <t>02.25</t>
  </si>
  <si>
    <t>BDI =</t>
  </si>
  <si>
    <t>EMPRESA:</t>
  </si>
  <si>
    <t xml:space="preserve"> BDI (R$)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</si>
  <si>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</si>
  <si>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</si>
  <si>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</si>
  <si>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</si>
  <si>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</si>
  <si>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</si>
  <si>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</si>
  <si>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</si>
  <si>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</si>
  <si>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</si>
  <si>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</si>
  <si>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</si>
  <si>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</si>
  <si>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</si>
  <si>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</si>
  <si>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</si>
  <si>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Memorial de cálculo dos projetos estruturais, climatização, hidro-sanitários, combate a incêndio e elétrico</t>
  </si>
  <si>
    <t>. Sinalização Visual</t>
  </si>
  <si>
    <t>. Paisagismo</t>
  </si>
  <si>
    <t>. Águas pluviais (captação e drenagem)</t>
  </si>
  <si>
    <t>. Àguas pluviais (captação e drenagem)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</si>
  <si>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</si>
  <si>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</si>
  <si>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</si>
  <si>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</si>
  <si>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</si>
  <si>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</si>
  <si>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</si>
  <si>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</si>
  <si>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</si>
  <si>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</si>
  <si>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</si>
  <si>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</si>
  <si>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</si>
  <si>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</si>
  <si>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</si>
  <si>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</si>
  <si>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</si>
  <si>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 xml:space="preserve">Relatório de viabilidade do investimento </t>
  </si>
  <si>
    <t>ART ou RRT da planilha orçamentária, caderno de encargos e especificações técnicas.</t>
  </si>
  <si>
    <t>Aprovação dos projetos de combate e prevenção a incêndios no Corpo de Bombeiros</t>
  </si>
  <si>
    <t>Aprovação dos projetos nas concessionárias públicas (elétrica, água/esgoto etc)</t>
  </si>
  <si>
    <t>APROVAÇÃO DE PROJETOS E ENTREGA DE DOCUMENTAÇÃO</t>
  </si>
  <si>
    <t>CUSTO MÁXIMO ADMITIDO PARA O PROJETO (% CO):</t>
  </si>
  <si>
    <t>Composição dos custos unitários de todos os serviços em nível de Projeto Básico</t>
  </si>
  <si>
    <t xml:space="preserve">Orçamento da obra em nível de Projeto Básico </t>
  </si>
  <si>
    <t>Caderno de encargos e especificações técnicas de todos os projetos em nível de Projeto Básico</t>
  </si>
  <si>
    <t>Caderno de encargos e especificações técnicas de todos os projetos em nível de Projeto Executivo</t>
  </si>
  <si>
    <t>04.26</t>
  </si>
  <si>
    <t>04.27</t>
  </si>
  <si>
    <t>04.28</t>
  </si>
  <si>
    <t>04.29</t>
  </si>
  <si>
    <t>04.30</t>
  </si>
  <si>
    <t>Orçamento da obra em nível de Projeto Executivo</t>
  </si>
  <si>
    <t>Composição dos custos unitários de todos os serviços em nível de Projeto Executivo</t>
  </si>
  <si>
    <t>03.26</t>
  </si>
  <si>
    <t>03.27</t>
  </si>
  <si>
    <t>03.28</t>
  </si>
  <si>
    <t>03.29</t>
  </si>
  <si>
    <t>ESTRUTURA</t>
  </si>
  <si>
    <t>INSTALAÇÕES ELÉTRICAS</t>
  </si>
  <si>
    <t>LÓGICA/TELEFONIA</t>
  </si>
  <si>
    <t>HIDRO-SANITÁRIA</t>
  </si>
  <si>
    <t>COMBATE E PREVENÇÃO A INCÊNDIOS</t>
  </si>
  <si>
    <t>AR CONDICIONADO</t>
  </si>
  <si>
    <t>ORÇAMENTO E DOCUMENTAÇÃO</t>
  </si>
  <si>
    <t>DEMAIS PROJETOS</t>
  </si>
  <si>
    <t>APROVAÇÃO DE PROJETOS/DOCUMENTAÇÃO</t>
  </si>
  <si>
    <t>03.30</t>
  </si>
  <si>
    <t>Maquete eletrônica preliminar</t>
  </si>
  <si>
    <t>04.31</t>
  </si>
  <si>
    <t>Maquete eletrônica final</t>
  </si>
  <si>
    <t>CNPJ:</t>
  </si>
  <si>
    <t xml:space="preserve">PREÇO TOTAL </t>
  </si>
  <si>
    <t>PRAZO DE EXECUÇÃO - DIAS CORRIDOS:</t>
  </si>
  <si>
    <t>% DO PRAZO DE EXECUÇÃO</t>
  </si>
  <si>
    <t>1ª ETAPA
EM DIAS</t>
  </si>
  <si>
    <t>2ª ETAPA
EM DIAS</t>
  </si>
  <si>
    <t>3ª ETAPA
EM DIAS</t>
  </si>
  <si>
    <t>4ª ETAPA
EM DIAS</t>
  </si>
  <si>
    <t>5ª ETAPA
EM DIAS</t>
  </si>
  <si>
    <t>VALOR SIMPLES (R$)</t>
  </si>
  <si>
    <t>VALOR ACUMULADO (R$)</t>
  </si>
  <si>
    <t>PREÇO TOTAL DA ETAPA</t>
  </si>
  <si>
    <t>VALOR GLOBAL DO PROJETO:</t>
  </si>
  <si>
    <t>VALOR GLOBAL DOS SERVIÇOS:</t>
  </si>
  <si>
    <t>SERVIÇO:</t>
  </si>
  <si>
    <t>ÁREA ESTIMADA A SER PROJETADA EM M²</t>
  </si>
  <si>
    <t xml:space="preserve">PRAZO DE EXECUÇÃO-DIAS CORRIDOS: </t>
  </si>
  <si>
    <t>MÊS/ANO DE REFERÊNCIA DE COLETA DE PREÇOS: SINAPI REGIONAL</t>
  </si>
  <si>
    <t>CNPJ: XX.XXX.XXX/XXX-XX</t>
  </si>
  <si>
    <t>PREÇO UNIT.(R$)
SEM BDI</t>
  </si>
  <si>
    <t>DATA DE APRESENTAÇÃO DA PROPOSTA:</t>
  </si>
  <si>
    <t>DESCONTO</t>
  </si>
  <si>
    <t>DATA DA APRES. DA PROPOSTA:</t>
  </si>
  <si>
    <t>CREA/CAU:</t>
  </si>
  <si>
    <t>RESP. TÉCN.:</t>
  </si>
  <si>
    <t>PRAZO PARA EXECUÇÃO EM DIAS CORRIDOS: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</si>
  <si>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 </t>
    </r>
    <r>
      <rPr>
        <b/>
        <sz val="9"/>
        <rFont val="Arial"/>
        <family val="2"/>
      </rPr>
      <t>JUSTIÇA FEDERAL</t>
    </r>
  </si>
  <si>
    <r>
      <rPr>
        <sz val="7"/>
        <rFont val="Arial"/>
        <family val="2"/>
      </rPr>
      <t xml:space="preserve">PODER JUDICIÁRIO
</t>
    </r>
    <r>
      <rPr>
        <b/>
        <sz val="8"/>
        <rFont val="Arial"/>
        <family val="2"/>
      </rPr>
      <t>JUSTIÇA FEDERAL</t>
    </r>
  </si>
  <si>
    <t>XX.YYY.ZZZ/AAAA-BB</t>
  </si>
  <si>
    <t>NOME DO RESP. TÉCN.</t>
  </si>
  <si>
    <t>N. CAU/CREA</t>
  </si>
  <si>
    <t>dd/mm/aaaa</t>
  </si>
  <si>
    <t>ARQUITETURA</t>
  </si>
  <si>
    <t>NOME DA EMPRESA:</t>
  </si>
  <si>
    <r>
      <rPr>
        <sz val="7"/>
        <rFont val="Arial"/>
        <family val="2"/>
      </rPr>
      <t xml:space="preserve">        PODER JUDICIÁRIO 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JUSTIÇA FEDERAL</t>
    </r>
  </si>
  <si>
    <t xml:space="preserve">. Arquitetura </t>
  </si>
  <si>
    <t>ESCALONAMENTO DO VALOR DO PROJETO. EM RELAÇÃO A ÁREA: SE A &lt;= 3.000; 5%. SE A &gt;=10.000;3,5%. SE FALSO;4%.</t>
  </si>
  <si>
    <t>COMPOSIÇÃO DO BDI:</t>
  </si>
  <si>
    <t>PERCENTUAIS (%)</t>
  </si>
  <si>
    <t>A) LUCRO</t>
  </si>
  <si>
    <t>B) ADMINISTRAÇÃO CENTRAL</t>
  </si>
  <si>
    <t>C) DESPESAS FINANCEIRAS</t>
  </si>
  <si>
    <t>D) ISSQN</t>
  </si>
  <si>
    <t>E) PIS</t>
  </si>
  <si>
    <t>F) COFINS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</si>
  <si>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</t>
    </r>
    <r>
      <rPr>
        <b/>
        <sz val="9"/>
        <rFont val="Arial"/>
        <family val="2"/>
      </rPr>
      <t>JUSTIÇA FEDERAL</t>
    </r>
  </si>
  <si>
    <t>PLANILHA DE CUSTOS DE PROJETOS DA JUSTIÇA FEDERAL: VERSÃO 1.0/2013</t>
  </si>
  <si>
    <t>RESUMO DOS PROJETOS</t>
  </si>
  <si>
    <t>05.06</t>
  </si>
  <si>
    <t>PERCENTUAL OFERTADO PELO LICITANTE
% SERÁ  ≤ AO DO ÓRGÃO</t>
  </si>
  <si>
    <t>PREÇO TOTAL (R$)</t>
  </si>
  <si>
    <t xml:space="preserve">Observações: </t>
  </si>
  <si>
    <t>2 - Ajustar o percentual do ISSQN à legislação municipal.</t>
  </si>
  <si>
    <t>1 - Percentuais do PIS e COFINS cotados no regime de incidência não-cumulativa, considerando-se o redutor de 20%, em relação ao percentual máximo ( 1,65% PIS e 7,60% COFINS), adotado pelo Sinaenco. Os licitantes devem apresentar o Demonstrativo de Apuração de Contribuições Sociais (DACON).</t>
  </si>
  <si>
    <t>ITEM PARA AJUSTE DO PERCENTUAL MÁXIMO A SER PAGO PELO PROJETO: Pmáximo = (% CO X % DE PROJETOS A CONTRATAR)/100</t>
  </si>
  <si>
    <r>
      <t xml:space="preserve"> 
          </t>
    </r>
    <r>
      <rPr>
        <sz val="8"/>
        <rFont val="Arial"/>
        <family val="2"/>
      </rPr>
      <t xml:space="preserve">PODER JUDICIÁRIO </t>
    </r>
    <r>
      <rPr>
        <b/>
        <sz val="8"/>
        <rFont val="Arial"/>
        <family val="2"/>
      </rPr>
      <t xml:space="preserve">
              </t>
    </r>
    <r>
      <rPr>
        <b/>
        <sz val="10"/>
        <rFont val="Arial"/>
        <family val="2"/>
      </rPr>
      <t>JUSTIÇA FEDERAL</t>
    </r>
  </si>
  <si>
    <t>. Hidráulica</t>
  </si>
  <si>
    <t>. CFTV e Controle de Acesso.</t>
  </si>
  <si>
    <t>. CFTV e Controle de Acesso</t>
  </si>
  <si>
    <t>. Águas pluviais</t>
  </si>
  <si>
    <t>Estudo dos condicionantes legais vigentes (uso do solo, plano diretor municipal, etc)</t>
  </si>
  <si>
    <t>PARCIAL SERVIÇOS =</t>
  </si>
  <si>
    <t>TOTAIS:</t>
  </si>
  <si>
    <t xml:space="preserve">TOTAL DO ORÇAMENTO DO LICITANTE COM BDI: </t>
  </si>
  <si>
    <t>MÁXIMO % SOBRE O VALOR DE TODOS OS PROJETOS</t>
  </si>
  <si>
    <t>% VALOR GLOBAL LICITADO</t>
  </si>
  <si>
    <t>PERCENTUAL MÁXIMO PARA A CONTRATAÇÃO DA TOTALIDADE DOS PROJETOS</t>
  </si>
  <si>
    <t>ÓRGÃO CONTRATANTE: SEÇÃO JUDICIÁRIA DO ESTADO DO AMAPÁ</t>
  </si>
  <si>
    <t>ELABORAÇÃO DE PROJETOS PARA A CONSTRUÇÃO DO EDIFÍCIO SEDE DA SUBSEÇÃO JUDICIÁRIA DE OIAPOQUE</t>
  </si>
  <si>
    <t>ENDEREÇO DA OBRA:RUA HONÓRIO SILVA, CENTRO, QUADRA 11 DO SETOR, OIAPOQUE - AP</t>
  </si>
  <si>
    <t>G) SEGURO + GARANTIA</t>
  </si>
  <si>
    <t>H) RISCOS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</si>
</sst>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&quot;R$ &quot;* #,##0.00_-;&quot;-R$ &quot;* #,##0.00_-;_-&quot;R$ &quot;* \-??_-;_-@_-"/>
    <numFmt numFmtId="167" formatCode="dd/mm/yy;@"/>
    <numFmt numFmtId="168" formatCode="_-[$R$-416]\ * #,##0.00_-;\-[$R$-416]\ * #,##0.00_-;_-[$R$-416]\ * &quot;-&quot;??_-;_-@_-"/>
    <numFmt numFmtId="169" formatCode="0.000%"/>
    <numFmt numFmtId="170" formatCode="0.00000%"/>
    <numFmt numFmtId="171" formatCode="_-&quot;R$&quot;\ * #,##0.00_-;\-&quot;R$&quot;\ * #,##0.00_-;_-&quot;R$&quot;\ * &quot;-&quot;???_-;_-@_-"/>
    <numFmt numFmtId="172" formatCode="0.0000%"/>
  </numFmts>
  <fonts count="40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3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22">
    <xf numFmtId="0" fontId="0" fillId="0" borderId="0" xfId="0"/>
    <xf numFmtId="0" fontId="8" fillId="0" borderId="0" xfId="0" quotePrefix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67" fontId="16" fillId="0" borderId="0" xfId="0" applyNumberFormat="1" applyFont="1" applyAlignment="1" applyProtection="1">
      <alignment wrapText="1"/>
      <protection hidden="1"/>
    </xf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vertical="center"/>
      <protection hidden="1"/>
    </xf>
    <xf numFmtId="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10" fontId="2" fillId="0" borderId="0" xfId="0" applyNumberFormat="1" applyFont="1" applyProtection="1">
      <protection hidden="1"/>
    </xf>
    <xf numFmtId="168" fontId="2" fillId="0" borderId="0" xfId="10" applyNumberFormat="1" applyFont="1" applyProtection="1">
      <protection hidden="1"/>
    </xf>
    <xf numFmtId="44" fontId="2" fillId="0" borderId="0" xfId="13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44" fontId="2" fillId="0" borderId="0" xfId="13" applyFont="1" applyAlignment="1" applyProtection="1">
      <alignment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5" applyFill="1" applyAlignment="1">
      <alignment vertical="center"/>
    </xf>
    <xf numFmtId="0" fontId="0" fillId="0" borderId="0" xfId="0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164" fontId="1" fillId="0" borderId="0" xfId="5" applyNumberForma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0" fontId="1" fillId="0" borderId="0" xfId="5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0" xfId="5" applyFont="1" applyFill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left"/>
      <protection hidden="1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169" fontId="0" fillId="6" borderId="2" xfId="1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3" xfId="0" applyFont="1" applyFill="1" applyBorder="1" applyAlignment="1" applyProtection="1">
      <alignment horizontal="left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44" fontId="4" fillId="9" borderId="3" xfId="13" applyFont="1" applyFill="1" applyBorder="1" applyAlignment="1" applyProtection="1">
      <alignment horizontal="center" vertical="center" wrapText="1"/>
      <protection hidden="1"/>
    </xf>
    <xf numFmtId="10" fontId="4" fillId="9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44" fontId="7" fillId="5" borderId="0" xfId="0" applyNumberFormat="1" applyFont="1" applyFill="1" applyBorder="1" applyAlignment="1" applyProtection="1">
      <alignment horizontal="center" vertical="center"/>
      <protection hidden="1"/>
    </xf>
    <xf numFmtId="4" fontId="7" fillId="5" borderId="0" xfId="0" applyNumberFormat="1" applyFont="1" applyFill="1" applyBorder="1" applyAlignment="1" applyProtection="1">
      <alignment horizontal="center" vertical="center"/>
      <protection hidden="1"/>
    </xf>
    <xf numFmtId="169" fontId="7" fillId="5" borderId="0" xfId="10" applyNumberFormat="1" applyFont="1" applyFill="1" applyBorder="1" applyAlignment="1" applyProtection="1">
      <alignment horizontal="center" vertical="center"/>
      <protection hidden="1"/>
    </xf>
    <xf numFmtId="9" fontId="4" fillId="5" borderId="0" xfId="10" applyFont="1" applyFill="1" applyBorder="1" applyAlignment="1" applyProtection="1">
      <alignment vertical="center" wrapText="1"/>
      <protection hidden="1"/>
    </xf>
    <xf numFmtId="44" fontId="4" fillId="9" borderId="3" xfId="13" applyFont="1" applyFill="1" applyBorder="1" applyAlignment="1" applyProtection="1">
      <alignment horizontal="right" vertical="center" wrapText="1"/>
      <protection hidden="1"/>
    </xf>
    <xf numFmtId="0" fontId="9" fillId="11" borderId="5" xfId="0" applyNumberFormat="1" applyFont="1" applyFill="1" applyBorder="1" applyAlignment="1" applyProtection="1">
      <alignment horizontal="left"/>
      <protection hidden="1"/>
    </xf>
    <xf numFmtId="0" fontId="0" fillId="11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9" fillId="11" borderId="7" xfId="0" applyNumberFormat="1" applyFont="1" applyFill="1" applyBorder="1" applyAlignment="1" applyProtection="1">
      <alignment wrapText="1"/>
      <protection hidden="1"/>
    </xf>
    <xf numFmtId="0" fontId="9" fillId="11" borderId="8" xfId="0" applyNumberFormat="1" applyFont="1" applyFill="1" applyBorder="1" applyAlignment="1" applyProtection="1">
      <alignment wrapText="1"/>
      <protection hidden="1"/>
    </xf>
    <xf numFmtId="0" fontId="9" fillId="11" borderId="9" xfId="0" applyNumberFormat="1" applyFont="1" applyFill="1" applyBorder="1" applyAlignment="1" applyProtection="1">
      <protection hidden="1"/>
    </xf>
    <xf numFmtId="0" fontId="9" fillId="11" borderId="6" xfId="0" applyNumberFormat="1" applyFont="1" applyFill="1" applyBorder="1" applyAlignment="1" applyProtection="1">
      <protection hidden="1"/>
    </xf>
    <xf numFmtId="0" fontId="9" fillId="11" borderId="10" xfId="0" applyNumberFormat="1" applyFont="1" applyFill="1" applyBorder="1" applyAlignment="1" applyProtection="1">
      <alignment horizontal="left"/>
      <protection hidden="1"/>
    </xf>
    <xf numFmtId="0" fontId="9" fillId="11" borderId="8" xfId="0" applyNumberFormat="1" applyFont="1" applyFill="1" applyBorder="1" applyAlignment="1" applyProtection="1">
      <alignment horizontal="left"/>
      <protection hidden="1"/>
    </xf>
    <xf numFmtId="14" fontId="9" fillId="0" borderId="0" xfId="5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vertical="center"/>
    </xf>
    <xf numFmtId="44" fontId="8" fillId="0" borderId="3" xfId="13" applyFont="1" applyFill="1" applyBorder="1" applyAlignment="1">
      <alignment vertical="center"/>
    </xf>
    <xf numFmtId="0" fontId="9" fillId="5" borderId="0" xfId="5" applyFont="1" applyFill="1" applyAlignment="1">
      <alignment vertical="center"/>
    </xf>
    <xf numFmtId="0" fontId="1" fillId="11" borderId="6" xfId="0" applyFont="1" applyFill="1" applyBorder="1" applyProtection="1">
      <protection hidden="1"/>
    </xf>
    <xf numFmtId="0" fontId="9" fillId="11" borderId="10" xfId="0" applyNumberFormat="1" applyFont="1" applyFill="1" applyBorder="1" applyAlignment="1" applyProtection="1"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0" fillId="5" borderId="0" xfId="0" applyFill="1" applyProtection="1">
      <protection hidden="1"/>
    </xf>
    <xf numFmtId="0" fontId="9" fillId="4" borderId="3" xfId="0" applyNumberFormat="1" applyFont="1" applyFill="1" applyBorder="1" applyAlignment="1" applyProtection="1">
      <alignment vertical="center"/>
      <protection hidden="1"/>
    </xf>
    <xf numFmtId="0" fontId="9" fillId="4" borderId="2" xfId="0" applyNumberFormat="1" applyFont="1" applyFill="1" applyBorder="1" applyAlignment="1" applyProtection="1">
      <alignment vertical="center"/>
      <protection hidden="1"/>
    </xf>
    <xf numFmtId="0" fontId="9" fillId="4" borderId="6" xfId="0" quotePrefix="1" applyNumberFormat="1" applyFont="1" applyFill="1" applyBorder="1" applyAlignment="1" applyProtection="1">
      <protection hidden="1"/>
    </xf>
    <xf numFmtId="0" fontId="7" fillId="4" borderId="5" xfId="0" applyFont="1" applyFill="1" applyBorder="1" applyAlignment="1" applyProtection="1">
      <alignment vertical="top"/>
      <protection hidden="1"/>
    </xf>
    <xf numFmtId="4" fontId="2" fillId="9" borderId="5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vertical="center" wrapText="1"/>
      <protection hidden="1"/>
    </xf>
    <xf numFmtId="4" fontId="2" fillId="9" borderId="3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3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/>
      <protection hidden="1"/>
    </xf>
    <xf numFmtId="44" fontId="4" fillId="9" borderId="2" xfId="13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left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0" fontId="4" fillId="9" borderId="1" xfId="0" applyNumberFormat="1" applyFont="1" applyFill="1" applyBorder="1" applyAlignment="1" applyProtection="1">
      <alignment horizontal="center" vertical="center"/>
      <protection hidden="1"/>
    </xf>
    <xf numFmtId="10" fontId="2" fillId="9" borderId="1" xfId="0" applyNumberFormat="1" applyFont="1" applyFill="1" applyBorder="1" applyAlignment="1" applyProtection="1">
      <alignment horizontal="center" vertical="center"/>
      <protection hidden="1"/>
    </xf>
    <xf numFmtId="4" fontId="2" fillId="9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10" fontId="4" fillId="9" borderId="1" xfId="0" applyNumberFormat="1" applyFont="1" applyFill="1" applyBorder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3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NumberFormat="1" applyFont="1" applyFill="1" applyBorder="1" applyAlignment="1" applyProtection="1">
      <protection hidden="1"/>
    </xf>
    <xf numFmtId="0" fontId="7" fillId="5" borderId="1" xfId="0" applyFont="1" applyFill="1" applyBorder="1" applyAlignment="1" applyProtection="1">
      <alignment horizontal="center" vertical="top" shrinkToFit="1"/>
      <protection hidden="1"/>
    </xf>
    <xf numFmtId="0" fontId="7" fillId="5" borderId="1" xfId="0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protection hidden="1"/>
    </xf>
    <xf numFmtId="17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0" fontId="9" fillId="4" borderId="7" xfId="0" quotePrefix="1" applyNumberFormat="1" applyFont="1" applyFill="1" applyBorder="1" applyAlignment="1" applyProtection="1">
      <protection hidden="1"/>
    </xf>
    <xf numFmtId="0" fontId="7" fillId="4" borderId="8" xfId="0" applyFont="1" applyFill="1" applyBorder="1" applyAlignment="1" applyProtection="1">
      <alignment vertical="top"/>
      <protection hidden="1"/>
    </xf>
    <xf numFmtId="44" fontId="7" fillId="12" borderId="1" xfId="13" applyFont="1" applyFill="1" applyBorder="1" applyAlignment="1" applyProtection="1">
      <alignment horizontal="center" vertical="center"/>
      <protection hidden="1"/>
    </xf>
    <xf numFmtId="0" fontId="9" fillId="11" borderId="9" xfId="0" applyNumberFormat="1" applyFont="1" applyFill="1" applyBorder="1" applyAlignment="1" applyProtection="1">
      <protection locked="0" hidden="1"/>
    </xf>
    <xf numFmtId="44" fontId="7" fillId="5" borderId="1" xfId="13" applyFont="1" applyFill="1" applyBorder="1" applyAlignment="1" applyProtection="1">
      <alignment horizontal="center" vertical="center"/>
      <protection hidden="1"/>
    </xf>
    <xf numFmtId="0" fontId="9" fillId="4" borderId="9" xfId="0" quotePrefix="1" applyNumberFormat="1" applyFont="1" applyFill="1" applyBorder="1" applyAlignment="1" applyProtection="1"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11" borderId="5" xfId="0" applyFont="1" applyFill="1" applyBorder="1" applyProtection="1">
      <protection locked="0"/>
    </xf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7" fillId="4" borderId="1" xfId="13" applyFont="1" applyFill="1" applyBorder="1" applyAlignment="1" applyProtection="1">
      <alignment horizontal="right" vertical="center" wrapText="1"/>
      <protection locked="0"/>
    </xf>
    <xf numFmtId="0" fontId="9" fillId="11" borderId="6" xfId="0" applyNumberFormat="1" applyFont="1" applyFill="1" applyBorder="1" applyAlignment="1" applyProtection="1">
      <protection locked="0"/>
    </xf>
    <xf numFmtId="14" fontId="9" fillId="11" borderId="5" xfId="0" applyNumberFormat="1" applyFont="1" applyFill="1" applyBorder="1" applyAlignment="1" applyProtection="1">
      <alignment horizontal="left"/>
      <protection locked="0"/>
    </xf>
    <xf numFmtId="0" fontId="29" fillId="11" borderId="7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protection hidden="1"/>
    </xf>
    <xf numFmtId="0" fontId="9" fillId="0" borderId="0" xfId="0" quotePrefix="1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4" fillId="10" borderId="3" xfId="0" applyFont="1" applyFill="1" applyBorder="1" applyAlignment="1" applyProtection="1">
      <alignment horizontal="center" vertical="center" wrapText="1"/>
      <protection hidden="1"/>
    </xf>
    <xf numFmtId="0" fontId="4" fillId="10" borderId="3" xfId="0" applyFont="1" applyFill="1" applyBorder="1" applyAlignment="1" applyProtection="1">
      <alignment horizontal="left" vertical="center" wrapText="1"/>
      <protection hidden="1"/>
    </xf>
    <xf numFmtId="4" fontId="4" fillId="10" borderId="3" xfId="0" applyNumberFormat="1" applyFont="1" applyFill="1" applyBorder="1" applyAlignment="1" applyProtection="1">
      <alignment horizontal="right" vertical="center" wrapText="1"/>
      <protection hidden="1"/>
    </xf>
    <xf numFmtId="4" fontId="4" fillId="10" borderId="3" xfId="0" applyNumberFormat="1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4" fontId="4" fillId="0" borderId="3" xfId="0" applyNumberFormat="1" applyFont="1" applyFill="1" applyBorder="1" applyAlignment="1" applyProtection="1">
      <alignment horizontal="right" vertical="top" wrapText="1"/>
      <protection hidden="1"/>
    </xf>
    <xf numFmtId="10" fontId="2" fillId="0" borderId="3" xfId="1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44" fontId="4" fillId="0" borderId="0" xfId="13" applyFont="1" applyFill="1" applyBorder="1" applyAlignment="1" applyProtection="1">
      <alignment vertical="center" wrapText="1"/>
      <protection hidden="1"/>
    </xf>
    <xf numFmtId="44" fontId="4" fillId="0" borderId="3" xfId="13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4" fontId="2" fillId="0" borderId="0" xfId="0" applyNumberFormat="1" applyFont="1" applyAlignme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0" fillId="0" borderId="0" xfId="0" applyFont="1" applyAlignment="1">
      <alignment vertical="center"/>
    </xf>
    <xf numFmtId="0" fontId="8" fillId="0" borderId="0" xfId="5" applyFont="1" applyBorder="1" applyAlignment="1">
      <alignment vertical="center"/>
    </xf>
    <xf numFmtId="0" fontId="30" fillId="0" borderId="0" xfId="0" quotePrefix="1" applyFont="1" applyFill="1" applyBorder="1" applyAlignment="1" applyProtection="1">
      <alignment horizontal="center" vertical="center" wrapText="1"/>
      <protection hidden="1"/>
    </xf>
    <xf numFmtId="0" fontId="30" fillId="0" borderId="0" xfId="0" quotePrefix="1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4" fontId="35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protection hidden="1"/>
    </xf>
    <xf numFmtId="0" fontId="32" fillId="0" borderId="0" xfId="0" quotePrefix="1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Border="1" applyAlignment="1" applyProtection="1">
      <protection hidden="1"/>
    </xf>
    <xf numFmtId="14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1" fillId="0" borderId="0" xfId="0" applyFont="1"/>
    <xf numFmtId="0" fontId="0" fillId="0" borderId="0" xfId="0"/>
    <xf numFmtId="10" fontId="0" fillId="0" borderId="0" xfId="0" applyNumberFormat="1"/>
    <xf numFmtId="9" fontId="0" fillId="0" borderId="0" xfId="10" applyFont="1"/>
    <xf numFmtId="170" fontId="0" fillId="0" borderId="0" xfId="10" applyNumberFormat="1" applyFont="1" applyProtection="1"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10" fontId="0" fillId="8" borderId="11" xfId="10" applyNumberFormat="1" applyFont="1" applyFill="1" applyBorder="1" applyAlignment="1">
      <alignment horizontal="center"/>
    </xf>
    <xf numFmtId="10" fontId="0" fillId="8" borderId="2" xfId="10" applyNumberFormat="1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left" vertical="center" shrinkToFit="1"/>
      <protection hidden="1"/>
    </xf>
    <xf numFmtId="0" fontId="4" fillId="5" borderId="11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21" fillId="5" borderId="3" xfId="0" applyFont="1" applyFill="1" applyBorder="1" applyAlignment="1" applyProtection="1">
      <alignment horizontal="left" vertical="center" wrapText="1"/>
      <protection hidden="1"/>
    </xf>
    <xf numFmtId="0" fontId="21" fillId="5" borderId="2" xfId="0" applyFont="1" applyFill="1" applyBorder="1" applyAlignment="1" applyProtection="1">
      <alignment horizontal="left" vertical="center" wrapText="1"/>
      <protection hidden="1"/>
    </xf>
    <xf numFmtId="44" fontId="4" fillId="4" borderId="3" xfId="13" applyFont="1" applyFill="1" applyBorder="1" applyAlignment="1" applyProtection="1">
      <alignment vertical="center" wrapText="1"/>
      <protection hidden="1"/>
    </xf>
    <xf numFmtId="9" fontId="4" fillId="4" borderId="2" xfId="10" applyFont="1" applyFill="1" applyBorder="1" applyAlignment="1" applyProtection="1">
      <alignment horizontal="center" vertical="center"/>
      <protection hidden="1"/>
    </xf>
    <xf numFmtId="44" fontId="2" fillId="0" borderId="1" xfId="0" applyNumberFormat="1" applyFont="1" applyBorder="1" applyProtection="1">
      <protection hidden="1"/>
    </xf>
    <xf numFmtId="4" fontId="2" fillId="0" borderId="0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32" fillId="13" borderId="0" xfId="0" applyFont="1" applyFill="1" applyAlignment="1" applyProtection="1">
      <alignment vertical="center"/>
      <protection hidden="1"/>
    </xf>
    <xf numFmtId="0" fontId="36" fillId="13" borderId="0" xfId="0" applyFont="1" applyFill="1" applyAlignment="1" applyProtection="1">
      <alignment vertical="center"/>
      <protection hidden="1"/>
    </xf>
    <xf numFmtId="0" fontId="33" fillId="13" borderId="0" xfId="0" applyFont="1" applyFill="1" applyAlignment="1" applyProtection="1">
      <alignment horizontal="right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4" fontId="2" fillId="13" borderId="0" xfId="0" applyNumberFormat="1" applyFont="1" applyFill="1" applyAlignment="1" applyProtection="1">
      <alignment horizontal="center" vertical="center"/>
      <protection hidden="1"/>
    </xf>
    <xf numFmtId="0" fontId="9" fillId="13" borderId="0" xfId="0" applyFont="1" applyFill="1" applyAlignment="1" applyProtection="1">
      <alignment horizontal="right" vertic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2" fillId="13" borderId="0" xfId="5" applyFont="1" applyFill="1" applyBorder="1" applyAlignment="1">
      <alignment horizontal="left" vertical="center"/>
    </xf>
    <xf numFmtId="0" fontId="32" fillId="13" borderId="0" xfId="0" applyFont="1" applyFill="1" applyAlignment="1" applyProtection="1">
      <alignment horizontal="left" vertical="center"/>
      <protection hidden="1"/>
    </xf>
    <xf numFmtId="0" fontId="6" fillId="0" borderId="0" xfId="5" applyFont="1" applyFill="1" applyAlignment="1">
      <alignment vertical="center"/>
    </xf>
    <xf numFmtId="44" fontId="2" fillId="0" borderId="1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Fill="1" applyBorder="1" applyAlignment="1" applyProtection="1">
      <alignment vertical="center"/>
      <protection hidden="1"/>
    </xf>
    <xf numFmtId="0" fontId="9" fillId="0" borderId="0" xfId="5" applyFont="1" applyFill="1" applyBorder="1" applyAlignment="1" applyProtection="1">
      <alignment horizontal="right" vertical="center"/>
      <protection hidden="1"/>
    </xf>
    <xf numFmtId="0" fontId="1" fillId="0" borderId="0" xfId="5" applyFont="1" applyFill="1" applyBorder="1" applyAlignment="1" applyProtection="1">
      <alignment horizontal="left" vertical="center"/>
      <protection hidden="1"/>
    </xf>
    <xf numFmtId="0" fontId="1" fillId="0" borderId="0" xfId="5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8" fillId="2" borderId="3" xfId="0" applyFont="1" applyFill="1" applyBorder="1" applyAlignment="1" applyProtection="1">
      <alignment horizontal="center" vertical="center" wrapText="1"/>
      <protection hidden="1"/>
    </xf>
    <xf numFmtId="0" fontId="38" fillId="2" borderId="3" xfId="0" applyFont="1" applyFill="1" applyBorder="1" applyAlignment="1" applyProtection="1">
      <alignment horizontal="left" vertical="center" wrapText="1"/>
      <protection hidden="1"/>
    </xf>
    <xf numFmtId="4" fontId="38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left" vertical="center" wrapText="1"/>
      <protection hidden="1"/>
    </xf>
    <xf numFmtId="44" fontId="35" fillId="0" borderId="0" xfId="13" applyFont="1" applyFill="1" applyBorder="1" applyAlignment="1" applyProtection="1">
      <alignment horizontal="right" vertical="center" wrapText="1"/>
      <protection hidden="1"/>
    </xf>
    <xf numFmtId="1" fontId="35" fillId="0" borderId="0" xfId="10" applyNumberFormat="1" applyFont="1" applyBorder="1" applyAlignment="1" applyProtection="1">
      <alignment horizontal="center" vertical="center"/>
      <protection hidden="1"/>
    </xf>
    <xf numFmtId="0" fontId="38" fillId="0" borderId="3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44" fontId="35" fillId="0" borderId="3" xfId="13" applyFont="1" applyFill="1" applyBorder="1" applyAlignment="1" applyProtection="1">
      <alignment horizontal="right" vertical="center" wrapText="1"/>
      <protection hidden="1"/>
    </xf>
    <xf numFmtId="9" fontId="35" fillId="4" borderId="3" xfId="10" applyFont="1" applyFill="1" applyBorder="1" applyAlignment="1" applyProtection="1">
      <alignment horizontal="center" vertical="center" wrapText="1"/>
      <protection hidden="1"/>
    </xf>
    <xf numFmtId="1" fontId="35" fillId="5" borderId="3" xfId="10" applyNumberFormat="1" applyFont="1" applyFill="1" applyBorder="1" applyAlignment="1" applyProtection="1">
      <alignment horizontal="center" vertical="center"/>
      <protection hidden="1"/>
    </xf>
    <xf numFmtId="1" fontId="35" fillId="5" borderId="3" xfId="0" applyNumberFormat="1" applyFont="1" applyFill="1" applyBorder="1" applyAlignment="1" applyProtection="1">
      <alignment horizontal="center" vertical="center"/>
      <protection hidden="1"/>
    </xf>
    <xf numFmtId="4" fontId="35" fillId="0" borderId="0" xfId="0" applyNumberFormat="1" applyFont="1" applyAlignment="1" applyProtection="1">
      <alignment vertical="center"/>
      <protection hidden="1"/>
    </xf>
    <xf numFmtId="1" fontId="35" fillId="5" borderId="0" xfId="1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1" fontId="35" fillId="5" borderId="0" xfId="0" applyNumberFormat="1" applyFont="1" applyFill="1" applyBorder="1" applyAlignment="1" applyProtection="1">
      <alignment horizontal="center" vertical="center"/>
      <protection hidden="1"/>
    </xf>
    <xf numFmtId="9" fontId="35" fillId="0" borderId="3" xfId="10" applyFont="1" applyFill="1" applyBorder="1" applyAlignment="1" applyProtection="1">
      <alignment horizontal="center" vertical="center" wrapText="1"/>
      <protection hidden="1"/>
    </xf>
    <xf numFmtId="44" fontId="38" fillId="4" borderId="3" xfId="13" applyFont="1" applyFill="1" applyBorder="1" applyAlignment="1" applyProtection="1">
      <alignment horizontal="right" vertical="center" wrapText="1"/>
      <protection hidden="1"/>
    </xf>
    <xf numFmtId="0" fontId="35" fillId="4" borderId="3" xfId="0" applyFont="1" applyFill="1" applyBorder="1" applyAlignment="1" applyProtection="1">
      <alignment vertical="center"/>
      <protection hidden="1"/>
    </xf>
    <xf numFmtId="4" fontId="35" fillId="0" borderId="0" xfId="0" applyNumberFormat="1" applyFont="1" applyBorder="1" applyAlignment="1" applyProtection="1">
      <alignment vertical="center"/>
      <protection hidden="1"/>
    </xf>
    <xf numFmtId="10" fontId="35" fillId="0" borderId="3" xfId="10" applyNumberFormat="1" applyFont="1" applyBorder="1" applyAlignment="1" applyProtection="1">
      <alignment vertical="center"/>
      <protection hidden="1"/>
    </xf>
    <xf numFmtId="4" fontId="38" fillId="0" borderId="0" xfId="0" applyNumberFormat="1" applyFont="1" applyBorder="1" applyAlignment="1" applyProtection="1">
      <alignment vertical="center"/>
      <protection hidden="1"/>
    </xf>
    <xf numFmtId="4" fontId="38" fillId="4" borderId="0" xfId="0" applyNumberFormat="1" applyFont="1" applyFill="1" applyBorder="1" applyAlignment="1" applyProtection="1">
      <alignment vertical="center"/>
      <protection hidden="1"/>
    </xf>
    <xf numFmtId="10" fontId="38" fillId="4" borderId="3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4" fontId="35" fillId="0" borderId="0" xfId="0" applyNumberFormat="1" applyFont="1" applyAlignment="1" applyProtection="1">
      <alignment horizontal="right" vertical="center"/>
      <protection hidden="1"/>
    </xf>
    <xf numFmtId="0" fontId="39" fillId="0" borderId="0" xfId="5" quotePrefix="1" applyFont="1" applyFill="1" applyAlignme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/>
    <xf numFmtId="0" fontId="16" fillId="0" borderId="0" xfId="0" applyFont="1"/>
    <xf numFmtId="0" fontId="12" fillId="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69" fontId="0" fillId="6" borderId="0" xfId="10" applyNumberFormat="1" applyFont="1" applyFill="1" applyBorder="1" applyAlignment="1" applyProtection="1">
      <alignment horizontal="center" vertical="center"/>
      <protection hidden="1"/>
    </xf>
    <xf numFmtId="10" fontId="2" fillId="11" borderId="1" xfId="1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10" fontId="2" fillId="0" borderId="0" xfId="0" applyNumberFormat="1" applyFont="1" applyBorder="1" applyProtection="1">
      <protection hidden="1"/>
    </xf>
    <xf numFmtId="44" fontId="2" fillId="0" borderId="0" xfId="0" applyNumberFormat="1" applyFont="1" applyBorder="1" applyProtection="1">
      <protection hidden="1"/>
    </xf>
    <xf numFmtId="10" fontId="2" fillId="0" borderId="1" xfId="10" applyNumberFormat="1" applyFont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44" fontId="7" fillId="6" borderId="11" xfId="0" applyNumberFormat="1" applyFont="1" applyFill="1" applyBorder="1" applyAlignment="1" applyProtection="1">
      <alignment horizontal="center" vertical="center"/>
      <protection hidden="1"/>
    </xf>
    <xf numFmtId="44" fontId="7" fillId="6" borderId="2" xfId="0" applyNumberFormat="1" applyFont="1" applyFill="1" applyBorder="1" applyAlignment="1" applyProtection="1">
      <alignment horizontal="center" vertical="center"/>
      <protection hidden="1"/>
    </xf>
    <xf numFmtId="4" fontId="7" fillId="6" borderId="1" xfId="0" applyNumberFormat="1" applyFont="1" applyFill="1" applyBorder="1" applyAlignment="1" applyProtection="1">
      <alignment horizontal="center" vertical="center"/>
      <protection hidden="1"/>
    </xf>
    <xf numFmtId="169" fontId="7" fillId="6" borderId="1" xfId="1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44" fontId="4" fillId="9" borderId="11" xfId="13" applyFont="1" applyFill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vertical="center"/>
      <protection hidden="1"/>
    </xf>
    <xf numFmtId="44" fontId="4" fillId="9" borderId="11" xfId="13" applyFont="1" applyFill="1" applyBorder="1" applyAlignment="1" applyProtection="1">
      <alignment vertical="center" wrapText="1"/>
      <protection hidden="1"/>
    </xf>
    <xf numFmtId="44" fontId="4" fillId="9" borderId="2" xfId="13" applyFont="1" applyFill="1" applyBorder="1" applyAlignment="1" applyProtection="1">
      <alignment vertical="center" wrapText="1"/>
      <protection hidden="1"/>
    </xf>
    <xf numFmtId="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171" fontId="2" fillId="9" borderId="1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protection hidden="1"/>
    </xf>
    <xf numFmtId="0" fontId="2" fillId="9" borderId="0" xfId="0" applyFont="1" applyFill="1" applyBorder="1" applyAlignment="1" applyProtection="1">
      <alignment horizontal="center" wrapText="1"/>
      <protection hidden="1"/>
    </xf>
    <xf numFmtId="0" fontId="2" fillId="9" borderId="0" xfId="0" applyFont="1" applyFill="1" applyBorder="1" applyProtection="1">
      <protection hidden="1"/>
    </xf>
    <xf numFmtId="9" fontId="35" fillId="4" borderId="0" xfId="10" applyFont="1" applyFill="1" applyBorder="1" applyAlignment="1" applyProtection="1">
      <alignment horizontal="center" vertical="center" wrapText="1"/>
      <protection locked="0"/>
    </xf>
    <xf numFmtId="9" fontId="35" fillId="4" borderId="3" xfId="10" applyFont="1" applyFill="1" applyBorder="1" applyAlignment="1" applyProtection="1">
      <alignment horizontal="center" vertical="center" wrapText="1"/>
      <protection locked="0"/>
    </xf>
    <xf numFmtId="0" fontId="38" fillId="3" borderId="3" xfId="0" applyFont="1" applyFill="1" applyBorder="1" applyAlignment="1" applyProtection="1">
      <alignment horizontal="center" vertical="center" wrapText="1"/>
      <protection locked="0"/>
    </xf>
    <xf numFmtId="1" fontId="35" fillId="7" borderId="3" xfId="10" applyNumberFormat="1" applyFont="1" applyFill="1" applyBorder="1" applyAlignment="1" applyProtection="1">
      <alignment horizontal="center" vertical="center"/>
      <protection locked="0"/>
    </xf>
    <xf numFmtId="1" fontId="35" fillId="7" borderId="0" xfId="1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10" fontId="0" fillId="0" borderId="1" xfId="10" applyNumberFormat="1" applyFont="1" applyBorder="1" applyAlignment="1" applyProtection="1">
      <alignment horizontal="center"/>
      <protection hidden="1"/>
    </xf>
    <xf numFmtId="9" fontId="7" fillId="5" borderId="1" xfId="13" applyNumberFormat="1" applyFont="1" applyFill="1" applyBorder="1" applyAlignment="1" applyProtection="1">
      <alignment horizontal="center" vertical="center" wrapText="1"/>
      <protection locked="0"/>
    </xf>
    <xf numFmtId="172" fontId="0" fillId="8" borderId="3" xfId="10" applyNumberFormat="1" applyFont="1" applyFill="1" applyBorder="1" applyAlignment="1" applyProtection="1">
      <alignment horizontal="center"/>
      <protection hidden="1"/>
    </xf>
    <xf numFmtId="172" fontId="7" fillId="11" borderId="1" xfId="10" applyNumberFormat="1" applyFont="1" applyFill="1" applyBorder="1" applyAlignment="1" applyProtection="1">
      <alignment horizontal="center" vertical="center" shrinkToFit="1"/>
    </xf>
    <xf numFmtId="44" fontId="4" fillId="9" borderId="11" xfId="13" applyNumberFormat="1" applyFont="1" applyFill="1" applyBorder="1" applyAlignment="1" applyProtection="1">
      <alignment vertical="center"/>
      <protection hidden="1"/>
    </xf>
    <xf numFmtId="10" fontId="7" fillId="5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quotePrefix="1" applyNumberFormat="1" applyFont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vertical="center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left" vertical="center" shrinkToFit="1"/>
      <protection hidden="1"/>
    </xf>
    <xf numFmtId="0" fontId="7" fillId="5" borderId="1" xfId="0" applyFont="1" applyFill="1" applyBorder="1" applyAlignment="1" applyProtection="1">
      <alignment horizontal="left" vertical="center" shrinkToFit="1"/>
      <protection hidden="1"/>
    </xf>
    <xf numFmtId="0" fontId="16" fillId="8" borderId="11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/>
    <xf numFmtId="0" fontId="22" fillId="8" borderId="2" xfId="0" applyFont="1" applyFill="1" applyBorder="1"/>
    <xf numFmtId="0" fontId="7" fillId="5" borderId="11" xfId="0" applyFont="1" applyFill="1" applyBorder="1" applyAlignment="1" applyProtection="1">
      <alignment horizontal="left" vertical="center" shrinkToFit="1"/>
      <protection hidden="1"/>
    </xf>
    <xf numFmtId="0" fontId="7" fillId="5" borderId="3" xfId="0" applyFont="1" applyFill="1" applyBorder="1" applyAlignment="1" applyProtection="1">
      <alignment horizontal="left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4" fillId="9" borderId="9" xfId="0" applyNumberFormat="1" applyFont="1" applyFill="1" applyBorder="1" applyAlignment="1" applyProtection="1">
      <alignment horizontal="center" wrapText="1"/>
      <protection hidden="1"/>
    </xf>
    <xf numFmtId="4" fontId="4" fillId="9" borderId="7" xfId="0" applyNumberFormat="1" applyFont="1" applyFill="1" applyBorder="1" applyAlignment="1" applyProtection="1">
      <alignment horizontal="center" wrapText="1"/>
      <protection hidden="1"/>
    </xf>
    <xf numFmtId="172" fontId="4" fillId="9" borderId="10" xfId="10" applyNumberFormat="1" applyFont="1" applyFill="1" applyBorder="1" applyAlignment="1" applyProtection="1">
      <alignment horizontal="center" vertical="top" wrapText="1"/>
      <protection hidden="1"/>
    </xf>
    <xf numFmtId="172" fontId="4" fillId="9" borderId="8" xfId="10" applyNumberFormat="1" applyFont="1" applyFill="1" applyBorder="1" applyAlignment="1" applyProtection="1">
      <alignment horizontal="center" vertical="top" wrapText="1"/>
      <protection hidden="1"/>
    </xf>
    <xf numFmtId="4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7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8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1" xfId="1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0" borderId="11" xfId="10" applyNumberFormat="1" applyFont="1" applyBorder="1" applyAlignment="1" applyProtection="1">
      <alignment horizontal="left" wrapText="1"/>
      <protection hidden="1"/>
    </xf>
    <xf numFmtId="10" fontId="2" fillId="0" borderId="3" xfId="10" applyNumberFormat="1" applyFont="1" applyBorder="1" applyAlignment="1" applyProtection="1">
      <alignment horizontal="left" wrapText="1"/>
      <protection hidden="1"/>
    </xf>
    <xf numFmtId="10" fontId="2" fillId="0" borderId="2" xfId="10" applyNumberFormat="1" applyFont="1" applyBorder="1" applyAlignment="1" applyProtection="1">
      <alignment horizontal="left" wrapText="1"/>
      <protection hidden="1"/>
    </xf>
    <xf numFmtId="0" fontId="5" fillId="0" borderId="0" xfId="0" applyFont="1" applyAlignment="1">
      <alignment vertical="center" wrapText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quotePrefix="1" applyFont="1" applyFill="1" applyBorder="1" applyAlignment="1" applyProtection="1">
      <alignment horizontal="left" vertical="center"/>
      <protection hidden="1"/>
    </xf>
    <xf numFmtId="0" fontId="1" fillId="0" borderId="11" xfId="0" applyFont="1" applyBorder="1"/>
    <xf numFmtId="0" fontId="1" fillId="0" borderId="3" xfId="0" applyFont="1" applyBorder="1"/>
    <xf numFmtId="0" fontId="1" fillId="0" borderId="2" xfId="0" applyFont="1" applyBorder="1"/>
    <xf numFmtId="10" fontId="0" fillId="13" borderId="11" xfId="0" applyNumberFormat="1" applyFill="1" applyBorder="1" applyAlignment="1" applyProtection="1">
      <alignment horizontal="center"/>
      <protection locked="0"/>
    </xf>
    <xf numFmtId="10" fontId="0" fillId="13" borderId="3" xfId="0" applyNumberFormat="1" applyFill="1" applyBorder="1" applyAlignment="1" applyProtection="1">
      <alignment horizontal="center"/>
      <protection locked="0"/>
    </xf>
    <xf numFmtId="10" fontId="0" fillId="13" borderId="2" xfId="0" applyNumberFormat="1" applyFill="1" applyBorder="1" applyAlignment="1" applyProtection="1">
      <alignment horizontal="center"/>
      <protection locked="0"/>
    </xf>
    <xf numFmtId="10" fontId="0" fillId="13" borderId="11" xfId="10" applyNumberFormat="1" applyFont="1" applyFill="1" applyBorder="1" applyAlignment="1" applyProtection="1">
      <alignment horizontal="center"/>
      <protection locked="0"/>
    </xf>
    <xf numFmtId="10" fontId="0" fillId="13" borderId="3" xfId="10" applyNumberFormat="1" applyFont="1" applyFill="1" applyBorder="1" applyAlignment="1" applyProtection="1">
      <alignment horizontal="center"/>
      <protection locked="0"/>
    </xf>
    <xf numFmtId="10" fontId="0" fillId="13" borderId="2" xfId="10" applyNumberFormat="1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4" fontId="35" fillId="0" borderId="0" xfId="0" applyNumberFormat="1" applyFont="1" applyAlignment="1">
      <alignment horizontal="center" vertical="center"/>
    </xf>
    <xf numFmtId="0" fontId="39" fillId="0" borderId="0" xfId="5" quotePrefix="1" applyFont="1" applyFill="1" applyAlignment="1">
      <alignment horizontal="center"/>
    </xf>
    <xf numFmtId="0" fontId="31" fillId="0" borderId="0" xfId="5" applyFont="1" applyFill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39" fillId="0" borderId="0" xfId="5" quotePrefix="1" applyFont="1" applyFill="1" applyAlignment="1" applyProtection="1">
      <alignment horizontal="center"/>
      <protection hidden="1"/>
    </xf>
    <xf numFmtId="14" fontId="35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4" borderId="3" xfId="0" applyFont="1" applyFill="1" applyBorder="1" applyAlignment="1" applyProtection="1">
      <alignment horizontal="right" vertical="center"/>
      <protection hidden="1"/>
    </xf>
    <xf numFmtId="0" fontId="35" fillId="4" borderId="3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5" fillId="0" borderId="3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center" vertical="center" wrapText="1"/>
      <protection hidden="1"/>
    </xf>
    <xf numFmtId="0" fontId="30" fillId="4" borderId="0" xfId="0" quotePrefix="1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7" fillId="9" borderId="4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32" fillId="4" borderId="0" xfId="0" applyNumberFormat="1" applyFont="1" applyFill="1" applyBorder="1" applyAlignment="1" applyProtection="1">
      <alignment horizontal="center"/>
      <protection hidden="1"/>
    </xf>
    <xf numFmtId="0" fontId="6" fillId="0" borderId="0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quotePrefix="1" applyFont="1" applyFill="1" applyAlignment="1">
      <alignment horizontal="center" vertical="center"/>
    </xf>
    <xf numFmtId="0" fontId="16" fillId="0" borderId="0" xfId="5" quotePrefix="1" applyFont="1" applyFill="1" applyAlignment="1">
      <alignment horizontal="center"/>
    </xf>
    <xf numFmtId="0" fontId="16" fillId="0" borderId="0" xfId="0" applyFont="1" applyAlignment="1"/>
    <xf numFmtId="0" fontId="1" fillId="0" borderId="0" xfId="5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4" borderId="0" xfId="0" quotePrefix="1" applyNumberFormat="1" applyFont="1" applyFill="1" applyBorder="1" applyAlignment="1" applyProtection="1">
      <alignment horizontal="center" vertical="center" wrapText="1"/>
      <protection hidden="1"/>
    </xf>
    <xf numFmtId="0" fontId="0" fillId="9" borderId="9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3" xfId="0" applyFill="1" applyBorder="1"/>
    <xf numFmtId="0" fontId="0" fillId="9" borderId="0" xfId="0" applyFill="1" applyBorder="1" applyAlignment="1"/>
    <xf numFmtId="0" fontId="0" fillId="9" borderId="12" xfId="0" applyFill="1" applyBorder="1" applyAlignment="1"/>
    <xf numFmtId="0" fontId="0" fillId="9" borderId="13" xfId="0" applyFill="1" applyBorder="1" applyAlignment="1"/>
    <xf numFmtId="0" fontId="0" fillId="9" borderId="10" xfId="0" applyFill="1" applyBorder="1" applyAlignment="1"/>
    <xf numFmtId="0" fontId="0" fillId="9" borderId="5" xfId="0" applyFill="1" applyBorder="1" applyAlignment="1"/>
    <xf numFmtId="0" fontId="0" fillId="9" borderId="8" xfId="0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</cellXfs>
  <cellStyles count="14">
    <cellStyle name="Excel Built-in Normal" xfId="1"/>
    <cellStyle name="Moeda" xfId="13" builtinId="4"/>
    <cellStyle name="Moeda 2" xfId="2"/>
    <cellStyle name="Moeda 2 2" xfId="3"/>
    <cellStyle name="Moeda 4" xfId="4"/>
    <cellStyle name="Normal" xfId="0" builtinId="0"/>
    <cellStyle name="Normal 2" xfId="5"/>
    <cellStyle name="Normal 3" xfId="6"/>
    <cellStyle name="Normal 5" xfId="7"/>
    <cellStyle name="Normal 6" xfId="8"/>
    <cellStyle name="Normal 7" xfId="9"/>
    <cellStyle name="Porcentagem" xfId="10" builtinId="5"/>
    <cellStyle name="Separador de milhares" xfId="11" builtinId="3"/>
    <cellStyle name="Separador de milhares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ELEMENTOS DE PROJETO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9644774437126504E-2"/>
                  <c:y val="-8.3020897603230268E-2"/>
                </c:manualLayout>
              </c:layout>
              <c:showPercent val="1"/>
            </c:dLbl>
            <c:dLbl>
              <c:idx val="1"/>
              <c:layout>
                <c:manualLayout>
                  <c:x val="4.1518447991204535E-2"/>
                  <c:y val="2.5046708554637285E-2"/>
                </c:manualLayout>
              </c:layout>
              <c:showPercent val="1"/>
            </c:dLbl>
            <c:dLbl>
              <c:idx val="2"/>
              <c:layout>
                <c:manualLayout>
                  <c:x val="4.9999713758612134E-3"/>
                  <c:y val="7.3081687718405796E-3"/>
                </c:manualLayout>
              </c:layout>
              <c:showPercent val="1"/>
            </c:dLbl>
            <c:dLbl>
              <c:idx val="3"/>
              <c:layout>
                <c:manualLayout>
                  <c:x val="-4.6584121750844094E-3"/>
                  <c:y val="1.6898837598200867E-2"/>
                </c:manualLayout>
              </c:layout>
              <c:showPercent val="1"/>
            </c:dLbl>
            <c:dLbl>
              <c:idx val="4"/>
              <c:layout>
                <c:manualLayout>
                  <c:x val="-1.3209707230976701E-2"/>
                  <c:y val="-1.5303963120264608E-2"/>
                </c:manualLayout>
              </c:layout>
              <c:showPercent val="1"/>
            </c:dLbl>
            <c:dLbl>
              <c:idx val="5"/>
              <c:layout>
                <c:manualLayout>
                  <c:x val="-7.4178457260100092E-3"/>
                  <c:y val="1.3298597595066701E-2"/>
                </c:manualLayout>
              </c:layout>
              <c:showPercent val="1"/>
            </c:dLbl>
            <c:dLbl>
              <c:idx val="7"/>
              <c:layout>
                <c:manualLayout>
                  <c:x val="6.7483737162241262E-3"/>
                  <c:y val="-1.7704573433799123E-2"/>
                </c:manualLayout>
              </c:layout>
              <c:showPercent val="1"/>
            </c:dLbl>
            <c:dLbl>
              <c:idx val="8"/>
              <c:layout>
                <c:manualLayout>
                  <c:x val="6.5825534143072514E-3"/>
                  <c:y val="-1.0078549111963321E-2"/>
                </c:manualLayout>
              </c:layout>
              <c:showPercent val="1"/>
            </c:dLbl>
            <c:dLbl>
              <c:idx val="9"/>
              <c:layout>
                <c:manualLayout>
                  <c:x val="1.7579481578236494E-2"/>
                  <c:y val="-8.7195091708177526E-3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'Planilha Orçamentária'!$H$140:$H$149</c:f>
              <c:strCache>
                <c:ptCount val="10"/>
                <c:pt idx="0">
                  <c:v>ARQUITETURA</c:v>
                </c:pt>
                <c:pt idx="1">
                  <c:v>ESTRUTURA</c:v>
                </c:pt>
                <c:pt idx="2">
                  <c:v>INSTALAÇÕES ELÉTRICAS</c:v>
                </c:pt>
                <c:pt idx="3">
                  <c:v>LÓGICA/TELEFONIA</c:v>
                </c:pt>
                <c:pt idx="4">
                  <c:v>HIDRO-SANITÁRIA</c:v>
                </c:pt>
                <c:pt idx="5">
                  <c:v>COMBATE E PREVENÇÃO A INCÊNDIOS</c:v>
                </c:pt>
                <c:pt idx="6">
                  <c:v>AR CONDICIONADO</c:v>
                </c:pt>
                <c:pt idx="7">
                  <c:v>DEMAIS PROJETOS</c:v>
                </c:pt>
                <c:pt idx="8">
                  <c:v>APROVAÇÃO DE PROJETOS E ENTREGA DE DOCUMENTAÇÃO</c:v>
                </c:pt>
                <c:pt idx="9">
                  <c:v>ORÇAMENTO E DOCUMENTAÇÃO</c:v>
                </c:pt>
              </c:strCache>
            </c:strRef>
          </c:cat>
          <c:val>
            <c:numRef>
              <c:f>'Planilha Orçamentária'!$K$140:$K$149</c:f>
              <c:numCache>
                <c:formatCode>0.00%</c:formatCode>
                <c:ptCount val="10"/>
                <c:pt idx="0">
                  <c:v>0.35202804206309474</c:v>
                </c:pt>
                <c:pt idx="1">
                  <c:v>0.20030045067601404</c:v>
                </c:pt>
                <c:pt idx="2">
                  <c:v>8.3625438157235846E-2</c:v>
                </c:pt>
                <c:pt idx="3">
                  <c:v>3.8557836755132691E-2</c:v>
                </c:pt>
                <c:pt idx="4">
                  <c:v>5.3580370555833742E-2</c:v>
                </c:pt>
                <c:pt idx="5">
                  <c:v>5.1076614922383579E-2</c:v>
                </c:pt>
                <c:pt idx="6">
                  <c:v>2.7541311967951922E-2</c:v>
                </c:pt>
                <c:pt idx="7">
                  <c:v>5.8087130696044161E-2</c:v>
                </c:pt>
                <c:pt idx="8">
                  <c:v>0.10015022533800702</c:v>
                </c:pt>
                <c:pt idx="9">
                  <c:v>3.5052578868302445E-2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4169959256982534"/>
          <c:y val="0.20810884987489192"/>
          <c:w val="0.34989774525661432"/>
          <c:h val="0.65399310135732269"/>
        </c:manualLayout>
      </c:layout>
    </c:legend>
    <c:plotVisOnly val="1"/>
  </c:chart>
  <c:printSettings>
    <c:headerFooter/>
    <c:pageMargins b="0.78740157499999996" l="0.511811024" r="0.511811024" t="0.78740157499999996" header="0.31496062000000385" footer="0.31496062000000385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025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5720"/>
          <a:ext cx="762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87086</xdr:colOff>
      <xdr:row>0</xdr:row>
      <xdr:rowOff>1</xdr:rowOff>
    </xdr:from>
    <xdr:to>
      <xdr:col>1</xdr:col>
      <xdr:colOff>338234</xdr:colOff>
      <xdr:row>1</xdr:row>
      <xdr:rowOff>16565</xdr:rowOff>
    </xdr:to>
    <xdr:pic>
      <xdr:nvPicPr>
        <xdr:cNvPr id="4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86" y="1"/>
          <a:ext cx="673561" cy="712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108858</xdr:colOff>
      <xdr:row>0</xdr:row>
      <xdr:rowOff>558</xdr:rowOff>
    </xdr:from>
    <xdr:to>
      <xdr:col>11</xdr:col>
      <xdr:colOff>1621973</xdr:colOff>
      <xdr:row>1</xdr:row>
      <xdr:rowOff>205866</xdr:rowOff>
    </xdr:to>
    <xdr:pic>
      <xdr:nvPicPr>
        <xdr:cNvPr id="2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4029" y="558"/>
          <a:ext cx="1513115" cy="9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132</xdr:row>
      <xdr:rowOff>132546</xdr:rowOff>
    </xdr:from>
    <xdr:to>
      <xdr:col>4</xdr:col>
      <xdr:colOff>616325</xdr:colOff>
      <xdr:row>162</xdr:row>
      <xdr:rowOff>22413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4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9525</xdr:colOff>
      <xdr:row>0</xdr:row>
      <xdr:rowOff>673072</xdr:rowOff>
    </xdr:to>
    <xdr:pic>
      <xdr:nvPicPr>
        <xdr:cNvPr id="1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609600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219076</xdr:colOff>
      <xdr:row>0</xdr:row>
      <xdr:rowOff>19050</xdr:rowOff>
    </xdr:from>
    <xdr:to>
      <xdr:col>9</xdr:col>
      <xdr:colOff>600075</xdr:colOff>
      <xdr:row>0</xdr:row>
      <xdr:rowOff>681581</xdr:rowOff>
    </xdr:to>
    <xdr:pic>
      <xdr:nvPicPr>
        <xdr:cNvPr id="1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1" y="19050"/>
          <a:ext cx="1057274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25</xdr:row>
      <xdr:rowOff>133350</xdr:rowOff>
    </xdr:from>
    <xdr:to>
      <xdr:col>7</xdr:col>
      <xdr:colOff>247650</xdr:colOff>
      <xdr:row>28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52625" y="5114925"/>
          <a:ext cx="3095625" cy="352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2354580</xdr:colOff>
      <xdr:row>9</xdr:row>
      <xdr:rowOff>0</xdr:rowOff>
    </xdr:from>
    <xdr:to>
      <xdr:col>3</xdr:col>
      <xdr:colOff>10549</xdr:colOff>
      <xdr:row>12</xdr:row>
      <xdr:rowOff>121926</xdr:rowOff>
    </xdr:to>
    <xdr:pic>
      <xdr:nvPicPr>
        <xdr:cNvPr id="2049" name="Picture 2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50520"/>
          <a:ext cx="76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3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21336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41208</xdr:colOff>
      <xdr:row>0</xdr:row>
      <xdr:rowOff>0</xdr:rowOff>
    </xdr:from>
    <xdr:to>
      <xdr:col>1</xdr:col>
      <xdr:colOff>251459</xdr:colOff>
      <xdr:row>0</xdr:row>
      <xdr:rowOff>596872</xdr:rowOff>
    </xdr:to>
    <xdr:pic>
      <xdr:nvPicPr>
        <xdr:cNvPr id="6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208" y="0"/>
          <a:ext cx="598871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468923</xdr:colOff>
      <xdr:row>0</xdr:row>
      <xdr:rowOff>0</xdr:rowOff>
    </xdr:from>
    <xdr:to>
      <xdr:col>8</xdr:col>
      <xdr:colOff>711191</xdr:colOff>
      <xdr:row>0</xdr:row>
      <xdr:rowOff>662531</xdr:rowOff>
    </xdr:to>
    <xdr:pic>
      <xdr:nvPicPr>
        <xdr:cNvPr id="7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3492" y="0"/>
          <a:ext cx="974961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146716</xdr:colOff>
      <xdr:row>0</xdr:row>
      <xdr:rowOff>52755</xdr:rowOff>
    </xdr:from>
    <xdr:to>
      <xdr:col>1</xdr:col>
      <xdr:colOff>123093</xdr:colOff>
      <xdr:row>0</xdr:row>
      <xdr:rowOff>649627</xdr:rowOff>
    </xdr:to>
    <xdr:pic>
      <xdr:nvPicPr>
        <xdr:cNvPr id="3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716" y="52755"/>
          <a:ext cx="580115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1547446</xdr:colOff>
      <xdr:row>0</xdr:row>
      <xdr:rowOff>11723</xdr:rowOff>
    </xdr:from>
    <xdr:to>
      <xdr:col>6</xdr:col>
      <xdr:colOff>2534129</xdr:colOff>
      <xdr:row>0</xdr:row>
      <xdr:rowOff>674254</xdr:rowOff>
    </xdr:to>
    <xdr:pic>
      <xdr:nvPicPr>
        <xdr:cNvPr id="4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0477" y="11723"/>
          <a:ext cx="986683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1</xdr:row>
      <xdr:rowOff>90351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4356</xdr:colOff>
      <xdr:row>0</xdr:row>
      <xdr:rowOff>26126</xdr:rowOff>
    </xdr:from>
    <xdr:to>
      <xdr:col>0</xdr:col>
      <xdr:colOff>483326</xdr:colOff>
      <xdr:row>0</xdr:row>
      <xdr:rowOff>475995</xdr:rowOff>
    </xdr:to>
    <xdr:pic>
      <xdr:nvPicPr>
        <xdr:cNvPr id="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6" y="26126"/>
          <a:ext cx="478970" cy="44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1244616</xdr:colOff>
      <xdr:row>0</xdr:row>
      <xdr:rowOff>529689</xdr:rowOff>
    </xdr:to>
    <xdr:pic>
      <xdr:nvPicPr>
        <xdr:cNvPr id="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9863" y="0"/>
          <a:ext cx="787416" cy="52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P153"/>
  <sheetViews>
    <sheetView tabSelected="1" view="pageBreakPreview" zoomScaleNormal="70" zoomScaleSheetLayoutView="100" zoomScalePageLayoutView="70" workbookViewId="0">
      <selection activeCell="L8" sqref="L8"/>
    </sheetView>
  </sheetViews>
  <sheetFormatPr defaultColWidth="9.140625" defaultRowHeight="11.25"/>
  <cols>
    <col min="1" max="1" width="6.28515625" style="28" customWidth="1"/>
    <col min="2" max="2" width="70.7109375" style="28" customWidth="1"/>
    <col min="3" max="3" width="13.140625" style="28" customWidth="1"/>
    <col min="4" max="4" width="6.7109375" style="4" customWidth="1"/>
    <col min="5" max="5" width="14.28515625" style="4" customWidth="1"/>
    <col min="6" max="6" width="2.28515625" style="4" customWidth="1"/>
    <col min="7" max="7" width="15.28515625" style="4" customWidth="1"/>
    <col min="8" max="8" width="3.7109375" style="4" customWidth="1"/>
    <col min="9" max="9" width="21.7109375" style="4" customWidth="1"/>
    <col min="10" max="10" width="2.7109375" style="4" customWidth="1"/>
    <col min="11" max="11" width="18.7109375" style="21" customWidth="1"/>
    <col min="12" max="12" width="24.42578125" style="16" bestFit="1" customWidth="1"/>
    <col min="13" max="13" width="20.7109375" style="16" customWidth="1"/>
    <col min="14" max="14" width="21.42578125" style="16" customWidth="1"/>
    <col min="15" max="16" width="16.42578125" style="16" customWidth="1"/>
    <col min="17" max="17" width="9.140625" style="16" customWidth="1"/>
    <col min="18" max="16384" width="9.140625" style="16"/>
  </cols>
  <sheetData>
    <row r="1" spans="1:16" s="2" customFormat="1" ht="54.75" customHeight="1">
      <c r="A1" s="1"/>
      <c r="B1" s="284" t="s">
        <v>243</v>
      </c>
      <c r="C1" s="1"/>
      <c r="D1" s="1"/>
      <c r="E1" s="1"/>
      <c r="F1" s="1"/>
      <c r="G1" s="1"/>
      <c r="H1" s="1"/>
      <c r="I1" s="1"/>
      <c r="J1" s="1"/>
      <c r="K1" s="1"/>
    </row>
    <row r="2" spans="1:16" s="2" customFormat="1" ht="28.9" customHeight="1">
      <c r="A2" s="3"/>
      <c r="B2" s="3"/>
      <c r="C2" s="3"/>
      <c r="E2" s="4"/>
      <c r="F2" s="4"/>
      <c r="G2" s="4"/>
      <c r="H2" s="4"/>
      <c r="I2" s="5"/>
      <c r="J2" s="5"/>
      <c r="K2" s="6"/>
    </row>
    <row r="3" spans="1:16" s="2" customFormat="1" ht="40.15" customHeight="1">
      <c r="A3" s="283" t="s">
        <v>255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6" s="2" customFormat="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6" s="2" customFormat="1" ht="21.6" customHeight="1">
      <c r="A5" s="146" t="s">
        <v>256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41"/>
      <c r="M5" s="330" t="s">
        <v>242</v>
      </c>
      <c r="N5" s="322" t="s">
        <v>224</v>
      </c>
    </row>
    <row r="6" spans="1:16" s="2" customFormat="1" ht="21.6" customHeight="1">
      <c r="A6" s="147" t="s">
        <v>257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42"/>
      <c r="M6" s="331"/>
      <c r="N6" s="322"/>
    </row>
    <row r="7" spans="1:16" s="2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3"/>
      <c r="M7" s="331"/>
      <c r="N7" s="322"/>
    </row>
    <row r="8" spans="1:16" s="2" customFormat="1" ht="21.6" customHeight="1">
      <c r="A8" s="144" t="s">
        <v>221</v>
      </c>
      <c r="B8" s="94"/>
      <c r="C8" s="84"/>
      <c r="D8" s="7"/>
      <c r="E8" s="86" t="s">
        <v>212</v>
      </c>
      <c r="F8" s="87"/>
      <c r="G8" s="151" t="s">
        <v>217</v>
      </c>
      <c r="H8" s="87"/>
      <c r="I8" s="87"/>
      <c r="J8" s="87"/>
      <c r="K8" s="87" t="s">
        <v>211</v>
      </c>
      <c r="L8" s="153" t="s">
        <v>218</v>
      </c>
      <c r="M8" s="331"/>
      <c r="N8" s="322"/>
    </row>
    <row r="9" spans="1:16" s="2" customFormat="1" ht="19.899999999999999" customHeight="1">
      <c r="A9" s="95" t="s">
        <v>206</v>
      </c>
      <c r="B9" s="148" t="s">
        <v>216</v>
      </c>
      <c r="C9" s="85"/>
      <c r="D9" s="7"/>
      <c r="E9" s="88" t="s">
        <v>210</v>
      </c>
      <c r="F9" s="81"/>
      <c r="G9" s="81"/>
      <c r="H9" s="81"/>
      <c r="I9" s="152" t="s">
        <v>219</v>
      </c>
      <c r="J9" s="81"/>
      <c r="K9" s="82"/>
      <c r="L9" s="89"/>
      <c r="M9" s="331"/>
      <c r="N9" s="322"/>
    </row>
    <row r="10" spans="1:16" s="2" customFormat="1" ht="12.75">
      <c r="A10" s="8"/>
      <c r="B10" s="8"/>
      <c r="C10" s="8"/>
      <c r="D10" s="59"/>
      <c r="E10" s="59"/>
      <c r="F10" s="59"/>
      <c r="G10" s="59"/>
      <c r="H10" s="59"/>
      <c r="I10" s="59"/>
      <c r="J10" s="59"/>
      <c r="K10" s="59"/>
      <c r="L10" s="83"/>
      <c r="M10" s="331"/>
      <c r="N10" s="322"/>
    </row>
    <row r="11" spans="1:16" s="2" customFormat="1" ht="12.75" customHeight="1">
      <c r="A11" s="138" t="s">
        <v>203</v>
      </c>
      <c r="B11" s="139"/>
      <c r="C11" s="149">
        <v>1269.5999999999999</v>
      </c>
      <c r="D11" s="132"/>
      <c r="E11" s="332" t="s">
        <v>89</v>
      </c>
      <c r="F11" s="332"/>
      <c r="G11" s="332"/>
      <c r="H11" s="332"/>
      <c r="I11" s="332"/>
      <c r="J11" s="332"/>
      <c r="K11" s="333"/>
      <c r="L11" s="145">
        <f xml:space="preserve"> 3*C11*C12</f>
        <v>3554829.216</v>
      </c>
      <c r="M11" s="331"/>
      <c r="N11" s="322"/>
    </row>
    <row r="12" spans="1:16" s="2" customFormat="1" ht="12.75" customHeight="1">
      <c r="A12" s="140" t="s">
        <v>88</v>
      </c>
      <c r="B12" s="139"/>
      <c r="C12" s="150">
        <v>933.32</v>
      </c>
      <c r="D12" s="132"/>
      <c r="E12" s="337" t="s">
        <v>159</v>
      </c>
      <c r="F12" s="338"/>
      <c r="G12" s="338"/>
      <c r="H12" s="338"/>
      <c r="I12" s="338"/>
      <c r="J12" s="210"/>
      <c r="K12" s="321">
        <f>M12</f>
        <v>4.9925000000000018E-2</v>
      </c>
      <c r="L12" s="143">
        <f>K12*L11</f>
        <v>177474.84860880006</v>
      </c>
      <c r="M12" s="62">
        <f>((N12*(K21+K30+K57+K89+K123)))</f>
        <v>4.9925000000000018E-2</v>
      </c>
      <c r="N12" s="316" t="str">
        <f>IF(C11&gt;=10000,"3,5%",IF(C11&lt;=3000,"5%","4%"))</f>
        <v>5%</v>
      </c>
      <c r="P12" s="288"/>
    </row>
    <row r="13" spans="1:16" s="2" customFormat="1" ht="12.75" customHeight="1">
      <c r="A13" s="135" t="s">
        <v>205</v>
      </c>
      <c r="B13" s="136"/>
      <c r="C13" s="137">
        <v>42005</v>
      </c>
      <c r="D13" s="11"/>
      <c r="E13" s="12"/>
      <c r="F13" s="12"/>
      <c r="G13" s="12"/>
      <c r="H13" s="12"/>
      <c r="I13" s="12"/>
      <c r="J13" s="12"/>
      <c r="K13" s="13"/>
      <c r="L13" s="63"/>
    </row>
    <row r="14" spans="1:16" s="14" customFormat="1" ht="12.75">
      <c r="A14" s="135" t="s">
        <v>254</v>
      </c>
      <c r="B14" s="135"/>
      <c r="C14" s="317" t="str">
        <f>N12</f>
        <v>5%</v>
      </c>
      <c r="D14" s="133"/>
      <c r="E14" s="211" t="s">
        <v>204</v>
      </c>
      <c r="F14" s="212"/>
      <c r="G14" s="213"/>
      <c r="H14" s="214"/>
      <c r="I14" s="339">
        <v>120</v>
      </c>
      <c r="J14" s="340"/>
      <c r="K14" s="134" t="s">
        <v>113</v>
      </c>
      <c r="L14" s="319">
        <f>'Composição do BDI'!G24</f>
        <v>0.27843233726388106</v>
      </c>
    </row>
    <row r="15" spans="1:16" s="2" customFormat="1" ht="12.75">
      <c r="D15" s="315"/>
      <c r="E15" s="315"/>
      <c r="F15" s="315"/>
      <c r="G15" s="315"/>
      <c r="H15" s="60"/>
      <c r="I15" s="15"/>
      <c r="J15" s="15"/>
      <c r="K15" s="15"/>
      <c r="L15" s="206"/>
    </row>
    <row r="16" spans="1:16" s="2" customFormat="1" ht="15.75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</row>
    <row r="17" spans="1:15" s="61" customFormat="1" ht="26.25" customHeight="1">
      <c r="A17" s="334" t="s">
        <v>38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6"/>
      <c r="M17" s="307"/>
    </row>
    <row r="18" spans="1:15" s="131" customFormat="1" ht="37.5" customHeight="1">
      <c r="A18" s="327" t="s">
        <v>26</v>
      </c>
      <c r="B18" s="327" t="s">
        <v>5</v>
      </c>
      <c r="C18" s="327" t="s">
        <v>37</v>
      </c>
      <c r="D18" s="328" t="s">
        <v>7</v>
      </c>
      <c r="E18" s="346" t="s">
        <v>207</v>
      </c>
      <c r="F18" s="347"/>
      <c r="G18" s="342" t="s">
        <v>115</v>
      </c>
      <c r="H18" s="343"/>
      <c r="I18" s="346" t="s">
        <v>238</v>
      </c>
      <c r="J18" s="347"/>
      <c r="K18" s="305" t="s">
        <v>252</v>
      </c>
      <c r="L18" s="328" t="s">
        <v>237</v>
      </c>
      <c r="M18" s="308"/>
    </row>
    <row r="19" spans="1:15" s="131" customFormat="1" ht="30" customHeight="1">
      <c r="A19" s="327"/>
      <c r="B19" s="329"/>
      <c r="C19" s="327"/>
      <c r="D19" s="328"/>
      <c r="E19" s="348"/>
      <c r="F19" s="349"/>
      <c r="G19" s="344">
        <f>L14</f>
        <v>0.27843233726388106</v>
      </c>
      <c r="H19" s="345"/>
      <c r="I19" s="348"/>
      <c r="J19" s="349"/>
      <c r="K19" s="306">
        <f>N12*L11</f>
        <v>177741.4608</v>
      </c>
      <c r="L19" s="328"/>
      <c r="M19" s="309"/>
    </row>
    <row r="20" spans="1:15" ht="18" customHeight="1">
      <c r="A20" s="17"/>
      <c r="B20" s="18"/>
      <c r="C20" s="17"/>
      <c r="D20" s="19"/>
      <c r="E20" s="19"/>
      <c r="F20" s="19"/>
      <c r="G20" s="79"/>
      <c r="H20" s="79"/>
      <c r="I20" s="19"/>
      <c r="J20" s="19"/>
      <c r="K20" s="19"/>
      <c r="L20" s="64"/>
      <c r="M20" s="20"/>
      <c r="N20" s="21"/>
      <c r="O20" s="22"/>
    </row>
    <row r="21" spans="1:15" ht="18" customHeight="1">
      <c r="A21" s="112" t="s">
        <v>21</v>
      </c>
      <c r="B21" s="112" t="s">
        <v>47</v>
      </c>
      <c r="C21" s="129"/>
      <c r="D21" s="113"/>
      <c r="E21" s="111">
        <f>SUM(E22:E28)</f>
        <v>6951.5396168875377</v>
      </c>
      <c r="F21" s="126"/>
      <c r="G21" s="80">
        <f>I21-E21</f>
        <v>1935.5334231124616</v>
      </c>
      <c r="H21" s="71"/>
      <c r="I21" s="107">
        <f>SUM(I22:I28)</f>
        <v>8887.0730399999993</v>
      </c>
      <c r="J21" s="108"/>
      <c r="K21" s="72">
        <f>SUM(K22:K28)</f>
        <v>0.05</v>
      </c>
      <c r="L21" s="130">
        <f>SUM(L22:L28)</f>
        <v>0.05</v>
      </c>
      <c r="M21" s="24"/>
      <c r="N21" s="24"/>
    </row>
    <row r="22" spans="1:15" ht="18" customHeight="1">
      <c r="A22" s="121" t="s">
        <v>9</v>
      </c>
      <c r="B22" s="124" t="s">
        <v>248</v>
      </c>
      <c r="C22" s="115" t="s">
        <v>36</v>
      </c>
      <c r="D22" s="154">
        <v>1</v>
      </c>
      <c r="E22" s="127">
        <f>(I22/(1+$G$19))</f>
        <v>69.515396168875384</v>
      </c>
      <c r="F22" s="128"/>
      <c r="G22" s="102">
        <f>I22-E22</f>
        <v>19.355334231124615</v>
      </c>
      <c r="H22" s="102"/>
      <c r="I22" s="127">
        <f t="shared" ref="I22:I28" si="0">L22*$K$19</f>
        <v>88.870730399999999</v>
      </c>
      <c r="J22" s="128"/>
      <c r="K22" s="300">
        <f>IF(D22=1,0.05%,IF(D22=0,0))</f>
        <v>5.0000000000000001E-4</v>
      </c>
      <c r="L22" s="289">
        <f>K22</f>
        <v>5.0000000000000001E-4</v>
      </c>
      <c r="M22" s="25"/>
    </row>
    <row r="23" spans="1:15" ht="18" customHeight="1">
      <c r="A23" s="121" t="s">
        <v>59</v>
      </c>
      <c r="B23" s="124" t="s">
        <v>90</v>
      </c>
      <c r="C23" s="115" t="s">
        <v>36</v>
      </c>
      <c r="D23" s="154">
        <v>1</v>
      </c>
      <c r="E23" s="127">
        <f t="shared" ref="E23:E28" si="1">(I23/(1+$G$19))</f>
        <v>69.515396168875384</v>
      </c>
      <c r="F23" s="109"/>
      <c r="G23" s="102">
        <f t="shared" ref="G23:G28" si="2">I23-E23</f>
        <v>19.355334231124615</v>
      </c>
      <c r="H23" s="103"/>
      <c r="I23" s="127">
        <f t="shared" si="0"/>
        <v>88.870730399999999</v>
      </c>
      <c r="J23" s="109"/>
      <c r="K23" s="300">
        <f t="shared" ref="K23:K24" si="3">IF(D23=1,0.05%,IF(D23=0,0))</f>
        <v>5.0000000000000001E-4</v>
      </c>
      <c r="L23" s="289">
        <f t="shared" ref="L23:L28" si="4">K23</f>
        <v>5.0000000000000001E-4</v>
      </c>
      <c r="M23" s="23"/>
    </row>
    <row r="24" spans="1:15" ht="18" customHeight="1">
      <c r="A24" s="121" t="s">
        <v>60</v>
      </c>
      <c r="B24" s="124" t="s">
        <v>91</v>
      </c>
      <c r="C24" s="115" t="s">
        <v>36</v>
      </c>
      <c r="D24" s="154">
        <v>1</v>
      </c>
      <c r="E24" s="127">
        <f t="shared" si="1"/>
        <v>69.515396168875384</v>
      </c>
      <c r="F24" s="110"/>
      <c r="G24" s="102">
        <f t="shared" si="2"/>
        <v>19.355334231124615</v>
      </c>
      <c r="H24" s="104"/>
      <c r="I24" s="127">
        <f t="shared" si="0"/>
        <v>88.870730399999999</v>
      </c>
      <c r="J24" s="110"/>
      <c r="K24" s="300">
        <f t="shared" si="3"/>
        <v>5.0000000000000001E-4</v>
      </c>
      <c r="L24" s="289">
        <f t="shared" si="4"/>
        <v>5.0000000000000001E-4</v>
      </c>
    </row>
    <row r="25" spans="1:15" ht="18" customHeight="1">
      <c r="A25" s="121" t="s">
        <v>61</v>
      </c>
      <c r="B25" s="124" t="s">
        <v>50</v>
      </c>
      <c r="C25" s="115" t="s">
        <v>36</v>
      </c>
      <c r="D25" s="154">
        <v>1</v>
      </c>
      <c r="E25" s="127">
        <f t="shared" si="1"/>
        <v>6256.3856551987847</v>
      </c>
      <c r="F25" s="109"/>
      <c r="G25" s="102">
        <f t="shared" si="2"/>
        <v>1741.9800808012151</v>
      </c>
      <c r="H25" s="103"/>
      <c r="I25" s="127">
        <f t="shared" si="0"/>
        <v>7998.3657359999997</v>
      </c>
      <c r="J25" s="109"/>
      <c r="K25" s="300">
        <f>IF(D25=1,4.5%,IF(D25=0,0))</f>
        <v>4.4999999999999998E-2</v>
      </c>
      <c r="L25" s="289">
        <f t="shared" si="4"/>
        <v>4.4999999999999998E-2</v>
      </c>
    </row>
    <row r="26" spans="1:15" ht="18" customHeight="1">
      <c r="A26" s="121" t="s">
        <v>62</v>
      </c>
      <c r="B26" s="124" t="s">
        <v>48</v>
      </c>
      <c r="C26" s="115" t="s">
        <v>36</v>
      </c>
      <c r="D26" s="154">
        <v>1</v>
      </c>
      <c r="E26" s="127">
        <f t="shared" si="1"/>
        <v>208.54618850662615</v>
      </c>
      <c r="F26" s="110"/>
      <c r="G26" s="102">
        <f t="shared" si="2"/>
        <v>58.066002693373832</v>
      </c>
      <c r="H26" s="104"/>
      <c r="I26" s="127">
        <f t="shared" si="0"/>
        <v>266.61219119999998</v>
      </c>
      <c r="J26" s="110"/>
      <c r="K26" s="300">
        <f>IF(D26=1,0.15%,IF(D26=0,0))</f>
        <v>1.5E-3</v>
      </c>
      <c r="L26" s="289">
        <f t="shared" si="4"/>
        <v>1.5E-3</v>
      </c>
    </row>
    <row r="27" spans="1:15" ht="18" customHeight="1">
      <c r="A27" s="121" t="s">
        <v>63</v>
      </c>
      <c r="B27" s="124" t="s">
        <v>49</v>
      </c>
      <c r="C27" s="115" t="s">
        <v>36</v>
      </c>
      <c r="D27" s="154">
        <v>1</v>
      </c>
      <c r="E27" s="127">
        <f t="shared" si="1"/>
        <v>139.03079233775077</v>
      </c>
      <c r="F27" s="109"/>
      <c r="G27" s="102">
        <f t="shared" si="2"/>
        <v>38.710668462249231</v>
      </c>
      <c r="H27" s="103"/>
      <c r="I27" s="127">
        <f t="shared" si="0"/>
        <v>177.7414608</v>
      </c>
      <c r="J27" s="109"/>
      <c r="K27" s="300">
        <f>IF(D27=1,0.1%,IF(D27=0,0))</f>
        <v>1E-3</v>
      </c>
      <c r="L27" s="289">
        <f t="shared" si="4"/>
        <v>1E-3</v>
      </c>
    </row>
    <row r="28" spans="1:15" ht="18" customHeight="1">
      <c r="A28" s="121" t="s">
        <v>64</v>
      </c>
      <c r="B28" s="124" t="s">
        <v>154</v>
      </c>
      <c r="C28" s="115" t="s">
        <v>36</v>
      </c>
      <c r="D28" s="154">
        <v>1</v>
      </c>
      <c r="E28" s="127">
        <f t="shared" si="1"/>
        <v>139.03079233775077</v>
      </c>
      <c r="F28" s="110"/>
      <c r="G28" s="102">
        <f t="shared" si="2"/>
        <v>38.710668462249231</v>
      </c>
      <c r="H28" s="104"/>
      <c r="I28" s="127">
        <f t="shared" si="0"/>
        <v>177.7414608</v>
      </c>
      <c r="J28" s="110"/>
      <c r="K28" s="300">
        <f>IF(D28=1,0.1%,IF(D28=0,0))</f>
        <v>1E-3</v>
      </c>
      <c r="L28" s="289">
        <f t="shared" si="4"/>
        <v>1E-3</v>
      </c>
    </row>
    <row r="29" spans="1:15" ht="18" customHeight="1">
      <c r="A29" s="34"/>
      <c r="B29" s="34"/>
      <c r="C29" s="34"/>
      <c r="D29" s="64"/>
      <c r="E29" s="64"/>
      <c r="F29" s="64"/>
      <c r="G29" s="64"/>
      <c r="H29" s="64"/>
      <c r="I29" s="64"/>
      <c r="J29" s="64"/>
      <c r="K29" s="64"/>
    </row>
    <row r="30" spans="1:15" ht="18" customHeight="1">
      <c r="A30" s="112" t="s">
        <v>22</v>
      </c>
      <c r="B30" s="112" t="s">
        <v>51</v>
      </c>
      <c r="C30" s="112"/>
      <c r="D30" s="70"/>
      <c r="E30" s="303">
        <f>SUM(E31:E55)</f>
        <v>20785.103454493736</v>
      </c>
      <c r="F30" s="304"/>
      <c r="G30" s="303">
        <f>I30-E30</f>
        <v>5787.2449351062896</v>
      </c>
      <c r="H30" s="304"/>
      <c r="I30" s="301">
        <f>SUM(I31:I55)</f>
        <v>26572.348389600025</v>
      </c>
      <c r="J30" s="302"/>
      <c r="K30" s="72">
        <f>SUM(K31:K55)</f>
        <v>0.14950000000000005</v>
      </c>
      <c r="L30" s="117">
        <f>SUM(L31:L55)</f>
        <v>0.14950000000000005</v>
      </c>
    </row>
    <row r="31" spans="1:15" ht="18" customHeight="1">
      <c r="A31" s="121" t="s">
        <v>10</v>
      </c>
      <c r="B31" s="124" t="s">
        <v>223</v>
      </c>
      <c r="C31" s="115" t="s">
        <v>36</v>
      </c>
      <c r="D31" s="155">
        <v>1</v>
      </c>
      <c r="E31" s="127">
        <f>(I31/(1+$G$19))</f>
        <v>11122.463387020061</v>
      </c>
      <c r="F31" s="109"/>
      <c r="G31" s="102">
        <f t="shared" ref="G31:G55" si="5">I31-E31</f>
        <v>3096.8534769799389</v>
      </c>
      <c r="H31" s="105"/>
      <c r="I31" s="127">
        <f t="shared" ref="I31:I55" si="6">L31*$K$19</f>
        <v>14219.316864</v>
      </c>
      <c r="J31" s="109"/>
      <c r="K31" s="300">
        <f>IF(D31=1,8%,IF(D31=0,0))</f>
        <v>0.08</v>
      </c>
      <c r="L31" s="289">
        <f>K31</f>
        <v>0.08</v>
      </c>
      <c r="M31" s="26"/>
      <c r="N31" s="24"/>
    </row>
    <row r="32" spans="1:15" ht="18" customHeight="1">
      <c r="A32" s="121" t="s">
        <v>11</v>
      </c>
      <c r="B32" s="124" t="s">
        <v>133</v>
      </c>
      <c r="C32" s="115" t="s">
        <v>36</v>
      </c>
      <c r="D32" s="156">
        <v>1</v>
      </c>
      <c r="E32" s="127">
        <f t="shared" ref="E32:E55" si="7">(I32/(1+$G$19))</f>
        <v>139.03079233775077</v>
      </c>
      <c r="F32" s="110"/>
      <c r="G32" s="102">
        <f t="shared" si="5"/>
        <v>38.710668462249231</v>
      </c>
      <c r="H32" s="106"/>
      <c r="I32" s="127">
        <f t="shared" si="6"/>
        <v>177.7414608</v>
      </c>
      <c r="J32" s="110"/>
      <c r="K32" s="300">
        <f t="shared" ref="K32:K34" si="8">IF(D32=1,0.1%,IF(D32=0,0))</f>
        <v>1E-3</v>
      </c>
      <c r="L32" s="289">
        <f t="shared" ref="L32:L55" si="9">K32</f>
        <v>1E-3</v>
      </c>
      <c r="M32" s="22"/>
    </row>
    <row r="33" spans="1:14" ht="18" customHeight="1">
      <c r="A33" s="122" t="s">
        <v>12</v>
      </c>
      <c r="B33" s="122" t="s">
        <v>134</v>
      </c>
      <c r="C33" s="115" t="s">
        <v>36</v>
      </c>
      <c r="D33" s="155">
        <v>1</v>
      </c>
      <c r="E33" s="127">
        <f t="shared" si="7"/>
        <v>139.03079233775077</v>
      </c>
      <c r="F33" s="109"/>
      <c r="G33" s="102">
        <f t="shared" si="5"/>
        <v>38.710668462249231</v>
      </c>
      <c r="H33" s="105"/>
      <c r="I33" s="127">
        <f t="shared" si="6"/>
        <v>177.7414608</v>
      </c>
      <c r="J33" s="109"/>
      <c r="K33" s="300">
        <f t="shared" si="8"/>
        <v>1E-3</v>
      </c>
      <c r="L33" s="289">
        <f t="shared" si="9"/>
        <v>1E-3</v>
      </c>
    </row>
    <row r="34" spans="1:14" ht="18" customHeight="1">
      <c r="A34" s="121" t="s">
        <v>13</v>
      </c>
      <c r="B34" s="125" t="s">
        <v>65</v>
      </c>
      <c r="C34" s="115" t="s">
        <v>36</v>
      </c>
      <c r="D34" s="156">
        <v>1</v>
      </c>
      <c r="E34" s="127">
        <f t="shared" si="7"/>
        <v>139.03079233775077</v>
      </c>
      <c r="F34" s="110"/>
      <c r="G34" s="102">
        <f t="shared" si="5"/>
        <v>38.710668462249231</v>
      </c>
      <c r="H34" s="106"/>
      <c r="I34" s="127">
        <f t="shared" si="6"/>
        <v>177.7414608</v>
      </c>
      <c r="J34" s="110"/>
      <c r="K34" s="300">
        <f t="shared" si="8"/>
        <v>1E-3</v>
      </c>
      <c r="L34" s="289">
        <f t="shared" si="9"/>
        <v>1E-3</v>
      </c>
    </row>
    <row r="35" spans="1:14" ht="18" customHeight="1">
      <c r="A35" s="121" t="s">
        <v>34</v>
      </c>
      <c r="B35" s="125" t="s">
        <v>66</v>
      </c>
      <c r="C35" s="115" t="s">
        <v>36</v>
      </c>
      <c r="D35" s="155">
        <v>1</v>
      </c>
      <c r="E35" s="127">
        <f t="shared" si="7"/>
        <v>695.15396168875384</v>
      </c>
      <c r="F35" s="109"/>
      <c r="G35" s="102">
        <f t="shared" si="5"/>
        <v>193.55334231124618</v>
      </c>
      <c r="H35" s="105"/>
      <c r="I35" s="127">
        <f t="shared" si="6"/>
        <v>888.70730400000002</v>
      </c>
      <c r="J35" s="109"/>
      <c r="K35" s="300">
        <f>IF(D35=1,0.5%,IF(D35=0,0))</f>
        <v>5.0000000000000001E-3</v>
      </c>
      <c r="L35" s="289">
        <f t="shared" si="9"/>
        <v>5.0000000000000001E-3</v>
      </c>
      <c r="M35" s="24"/>
    </row>
    <row r="36" spans="1:14" ht="18" customHeight="1">
      <c r="A36" s="121" t="s">
        <v>92</v>
      </c>
      <c r="B36" s="125" t="s">
        <v>67</v>
      </c>
      <c r="C36" s="115" t="s">
        <v>36</v>
      </c>
      <c r="D36" s="156">
        <v>1</v>
      </c>
      <c r="E36" s="127">
        <f t="shared" si="7"/>
        <v>3475.7698084437698</v>
      </c>
      <c r="F36" s="110"/>
      <c r="G36" s="102">
        <f t="shared" si="5"/>
        <v>967.7667115562308</v>
      </c>
      <c r="H36" s="106"/>
      <c r="I36" s="127">
        <f t="shared" si="6"/>
        <v>4443.5365200000006</v>
      </c>
      <c r="J36" s="110"/>
      <c r="K36" s="300">
        <f>IF(D36=1,2.5%,IF(D36=0,0))</f>
        <v>2.5000000000000001E-2</v>
      </c>
      <c r="L36" s="289">
        <f t="shared" si="9"/>
        <v>2.5000000000000001E-2</v>
      </c>
    </row>
    <row r="37" spans="1:14" ht="18" customHeight="1">
      <c r="A37" s="121" t="s">
        <v>93</v>
      </c>
      <c r="B37" s="125" t="s">
        <v>68</v>
      </c>
      <c r="C37" s="115" t="s">
        <v>36</v>
      </c>
      <c r="D37" s="155">
        <v>1</v>
      </c>
      <c r="E37" s="127">
        <f t="shared" si="7"/>
        <v>208.54618850662615</v>
      </c>
      <c r="F37" s="109"/>
      <c r="G37" s="102">
        <f t="shared" si="5"/>
        <v>58.066002693373832</v>
      </c>
      <c r="H37" s="105"/>
      <c r="I37" s="127">
        <f t="shared" si="6"/>
        <v>266.61219119999998</v>
      </c>
      <c r="J37" s="109"/>
      <c r="K37" s="300">
        <f>IF(D37=1,0.15%,IF(D37=0,0))</f>
        <v>1.5E-3</v>
      </c>
      <c r="L37" s="289">
        <f t="shared" si="9"/>
        <v>1.5E-3</v>
      </c>
    </row>
    <row r="38" spans="1:14" ht="18" customHeight="1">
      <c r="A38" s="121" t="s">
        <v>94</v>
      </c>
      <c r="B38" s="125" t="s">
        <v>244</v>
      </c>
      <c r="C38" s="115" t="s">
        <v>36</v>
      </c>
      <c r="D38" s="156">
        <v>1</v>
      </c>
      <c r="E38" s="127">
        <f t="shared" si="7"/>
        <v>417.0923770132523</v>
      </c>
      <c r="F38" s="110"/>
      <c r="G38" s="102">
        <f t="shared" si="5"/>
        <v>116.13200538674766</v>
      </c>
      <c r="H38" s="106"/>
      <c r="I38" s="127">
        <f t="shared" si="6"/>
        <v>533.22438239999997</v>
      </c>
      <c r="J38" s="110"/>
      <c r="K38" s="300">
        <f>IF(D38=1,0.3%,IF(D38=0,0))</f>
        <v>3.0000000000000001E-3</v>
      </c>
      <c r="L38" s="289">
        <f t="shared" si="9"/>
        <v>3.0000000000000001E-3</v>
      </c>
    </row>
    <row r="39" spans="1:14" ht="18" customHeight="1">
      <c r="A39" s="121" t="s">
        <v>95</v>
      </c>
      <c r="B39" s="124" t="s">
        <v>69</v>
      </c>
      <c r="C39" s="115" t="s">
        <v>36</v>
      </c>
      <c r="D39" s="155">
        <v>1</v>
      </c>
      <c r="E39" s="127">
        <f t="shared" si="7"/>
        <v>208.54618850662615</v>
      </c>
      <c r="F39" s="109"/>
      <c r="G39" s="102">
        <f t="shared" si="5"/>
        <v>58.066002693373832</v>
      </c>
      <c r="H39" s="105"/>
      <c r="I39" s="127">
        <f t="shared" si="6"/>
        <v>266.61219119999998</v>
      </c>
      <c r="J39" s="109"/>
      <c r="K39" s="300">
        <f>IF(D39=1,0.15%,IF(D39=0,0))</f>
        <v>1.5E-3</v>
      </c>
      <c r="L39" s="289">
        <f t="shared" si="9"/>
        <v>1.5E-3</v>
      </c>
      <c r="M39" s="24"/>
    </row>
    <row r="40" spans="1:14" ht="18" customHeight="1">
      <c r="A40" s="121" t="s">
        <v>96</v>
      </c>
      <c r="B40" s="124" t="s">
        <v>135</v>
      </c>
      <c r="C40" s="115" t="s">
        <v>36</v>
      </c>
      <c r="D40" s="156">
        <v>1</v>
      </c>
      <c r="E40" s="127">
        <f t="shared" si="7"/>
        <v>208.54618850662615</v>
      </c>
      <c r="F40" s="110"/>
      <c r="G40" s="102">
        <f t="shared" si="5"/>
        <v>58.066002693373832</v>
      </c>
      <c r="H40" s="106"/>
      <c r="I40" s="127">
        <f t="shared" si="6"/>
        <v>266.61219119999998</v>
      </c>
      <c r="J40" s="110"/>
      <c r="K40" s="300">
        <f>IF(D40=1,0.15%,IF(D40=0,0))</f>
        <v>1.5E-3</v>
      </c>
      <c r="L40" s="289">
        <f t="shared" si="9"/>
        <v>1.5E-3</v>
      </c>
    </row>
    <row r="41" spans="1:14" ht="18" customHeight="1">
      <c r="A41" s="121" t="s">
        <v>97</v>
      </c>
      <c r="B41" s="124" t="s">
        <v>70</v>
      </c>
      <c r="C41" s="115" t="s">
        <v>36</v>
      </c>
      <c r="D41" s="155">
        <v>1</v>
      </c>
      <c r="E41" s="127">
        <f t="shared" si="7"/>
        <v>347.57698084437692</v>
      </c>
      <c r="F41" s="109"/>
      <c r="G41" s="102">
        <f t="shared" si="5"/>
        <v>96.776671155623092</v>
      </c>
      <c r="H41" s="105"/>
      <c r="I41" s="127">
        <f t="shared" si="6"/>
        <v>444.35365200000001</v>
      </c>
      <c r="J41" s="109"/>
      <c r="K41" s="300">
        <f t="shared" ref="K41:K46" si="10">IF(D41=1,0.25%,IF(D41=0,0))</f>
        <v>2.5000000000000001E-3</v>
      </c>
      <c r="L41" s="289">
        <f t="shared" si="9"/>
        <v>2.5000000000000001E-3</v>
      </c>
    </row>
    <row r="42" spans="1:14" ht="18" customHeight="1">
      <c r="A42" s="121" t="s">
        <v>98</v>
      </c>
      <c r="B42" s="124" t="s">
        <v>71</v>
      </c>
      <c r="C42" s="115" t="s">
        <v>36</v>
      </c>
      <c r="D42" s="156">
        <v>1</v>
      </c>
      <c r="E42" s="127">
        <f t="shared" si="7"/>
        <v>347.57698084437692</v>
      </c>
      <c r="F42" s="110"/>
      <c r="G42" s="102">
        <f t="shared" si="5"/>
        <v>96.776671155623092</v>
      </c>
      <c r="H42" s="106"/>
      <c r="I42" s="127">
        <f t="shared" si="6"/>
        <v>444.35365200000001</v>
      </c>
      <c r="J42" s="110"/>
      <c r="K42" s="300">
        <f t="shared" si="10"/>
        <v>2.5000000000000001E-3</v>
      </c>
      <c r="L42" s="289">
        <f t="shared" si="9"/>
        <v>2.5000000000000001E-3</v>
      </c>
    </row>
    <row r="43" spans="1:14" ht="18" customHeight="1">
      <c r="A43" s="121" t="s">
        <v>99</v>
      </c>
      <c r="B43" s="124" t="s">
        <v>72</v>
      </c>
      <c r="C43" s="115" t="s">
        <v>36</v>
      </c>
      <c r="D43" s="155">
        <v>1</v>
      </c>
      <c r="E43" s="127">
        <f t="shared" si="7"/>
        <v>347.57698084437692</v>
      </c>
      <c r="F43" s="109"/>
      <c r="G43" s="102">
        <f t="shared" si="5"/>
        <v>96.776671155623092</v>
      </c>
      <c r="H43" s="105"/>
      <c r="I43" s="127">
        <f t="shared" si="6"/>
        <v>444.35365200000001</v>
      </c>
      <c r="J43" s="109"/>
      <c r="K43" s="300">
        <f t="shared" si="10"/>
        <v>2.5000000000000001E-3</v>
      </c>
      <c r="L43" s="289">
        <f t="shared" si="9"/>
        <v>2.5000000000000001E-3</v>
      </c>
    </row>
    <row r="44" spans="1:14" ht="18" customHeight="1">
      <c r="A44" s="121" t="s">
        <v>100</v>
      </c>
      <c r="B44" s="124" t="s">
        <v>73</v>
      </c>
      <c r="C44" s="115" t="s">
        <v>36</v>
      </c>
      <c r="D44" s="156">
        <v>1</v>
      </c>
      <c r="E44" s="127">
        <f t="shared" si="7"/>
        <v>347.57698084437692</v>
      </c>
      <c r="F44" s="110"/>
      <c r="G44" s="102">
        <f t="shared" si="5"/>
        <v>96.776671155623092</v>
      </c>
      <c r="H44" s="106"/>
      <c r="I44" s="127">
        <f t="shared" si="6"/>
        <v>444.35365200000001</v>
      </c>
      <c r="J44" s="110"/>
      <c r="K44" s="300">
        <f t="shared" si="10"/>
        <v>2.5000000000000001E-3</v>
      </c>
      <c r="L44" s="289">
        <f t="shared" si="9"/>
        <v>2.5000000000000001E-3</v>
      </c>
    </row>
    <row r="45" spans="1:14" ht="18" customHeight="1">
      <c r="A45" s="121" t="s">
        <v>101</v>
      </c>
      <c r="B45" s="125" t="s">
        <v>74</v>
      </c>
      <c r="C45" s="115" t="s">
        <v>36</v>
      </c>
      <c r="D45" s="155">
        <v>1</v>
      </c>
      <c r="E45" s="127">
        <f t="shared" si="7"/>
        <v>347.57698084437692</v>
      </c>
      <c r="F45" s="109"/>
      <c r="G45" s="102">
        <f t="shared" si="5"/>
        <v>96.776671155623092</v>
      </c>
      <c r="H45" s="105"/>
      <c r="I45" s="127">
        <f t="shared" si="6"/>
        <v>444.35365200000001</v>
      </c>
      <c r="J45" s="109"/>
      <c r="K45" s="300">
        <f t="shared" si="10"/>
        <v>2.5000000000000001E-3</v>
      </c>
      <c r="L45" s="289">
        <f t="shared" si="9"/>
        <v>2.5000000000000001E-3</v>
      </c>
    </row>
    <row r="46" spans="1:14" ht="18" customHeight="1">
      <c r="A46" s="121" t="s">
        <v>102</v>
      </c>
      <c r="B46" s="125" t="s">
        <v>245</v>
      </c>
      <c r="C46" s="115" t="s">
        <v>36</v>
      </c>
      <c r="D46" s="156">
        <v>1</v>
      </c>
      <c r="E46" s="127">
        <f t="shared" si="7"/>
        <v>347.57698084437692</v>
      </c>
      <c r="F46" s="110"/>
      <c r="G46" s="102">
        <f t="shared" si="5"/>
        <v>96.776671155623092</v>
      </c>
      <c r="H46" s="106"/>
      <c r="I46" s="127">
        <f t="shared" si="6"/>
        <v>444.35365200000001</v>
      </c>
      <c r="J46" s="110"/>
      <c r="K46" s="300">
        <f t="shared" si="10"/>
        <v>2.5000000000000001E-3</v>
      </c>
      <c r="L46" s="289">
        <f t="shared" si="9"/>
        <v>2.5000000000000001E-3</v>
      </c>
      <c r="N46" s="24"/>
    </row>
    <row r="47" spans="1:14" ht="18" customHeight="1">
      <c r="A47" s="121" t="s">
        <v>103</v>
      </c>
      <c r="B47" s="122" t="s">
        <v>75</v>
      </c>
      <c r="C47" s="115" t="s">
        <v>36</v>
      </c>
      <c r="D47" s="155">
        <v>1</v>
      </c>
      <c r="E47" s="127">
        <f t="shared" si="7"/>
        <v>278.06158467550154</v>
      </c>
      <c r="F47" s="109"/>
      <c r="G47" s="102">
        <f t="shared" si="5"/>
        <v>77.421336924498462</v>
      </c>
      <c r="H47" s="105"/>
      <c r="I47" s="127">
        <f t="shared" si="6"/>
        <v>355.4829216</v>
      </c>
      <c r="J47" s="109"/>
      <c r="K47" s="300">
        <f>IF(D47=1,0.2%,IF(D47=0,0))</f>
        <v>2E-3</v>
      </c>
      <c r="L47" s="289">
        <f t="shared" si="9"/>
        <v>2E-3</v>
      </c>
    </row>
    <row r="48" spans="1:14" ht="18" customHeight="1">
      <c r="A48" s="121" t="s">
        <v>104</v>
      </c>
      <c r="B48" s="122" t="s">
        <v>76</v>
      </c>
      <c r="C48" s="115" t="s">
        <v>36</v>
      </c>
      <c r="D48" s="156">
        <v>1</v>
      </c>
      <c r="E48" s="127">
        <f t="shared" si="7"/>
        <v>347.57698084437692</v>
      </c>
      <c r="F48" s="110"/>
      <c r="G48" s="102">
        <f t="shared" si="5"/>
        <v>96.776671155623092</v>
      </c>
      <c r="H48" s="106"/>
      <c r="I48" s="127">
        <f t="shared" si="6"/>
        <v>444.35365200000001</v>
      </c>
      <c r="J48" s="110"/>
      <c r="K48" s="300">
        <f>IF(D48=1,0.25%,IF(D48=0,0))</f>
        <v>2.5000000000000001E-3</v>
      </c>
      <c r="L48" s="289">
        <f t="shared" si="9"/>
        <v>2.5000000000000001E-3</v>
      </c>
    </row>
    <row r="49" spans="1:13" ht="18" customHeight="1">
      <c r="A49" s="121" t="s">
        <v>105</v>
      </c>
      <c r="B49" s="125" t="s">
        <v>77</v>
      </c>
      <c r="C49" s="115" t="s">
        <v>36</v>
      </c>
      <c r="D49" s="155">
        <v>1</v>
      </c>
      <c r="E49" s="127">
        <f t="shared" si="7"/>
        <v>347.57698084437692</v>
      </c>
      <c r="F49" s="109"/>
      <c r="G49" s="102">
        <f t="shared" si="5"/>
        <v>96.776671155623092</v>
      </c>
      <c r="H49" s="105"/>
      <c r="I49" s="127">
        <f t="shared" si="6"/>
        <v>444.35365200000001</v>
      </c>
      <c r="J49" s="109"/>
      <c r="K49" s="300">
        <f>IF(D49=1,0.25%,IF(D49=0,0))</f>
        <v>2.5000000000000001E-3</v>
      </c>
      <c r="L49" s="289">
        <f t="shared" si="9"/>
        <v>2.5000000000000001E-3</v>
      </c>
    </row>
    <row r="50" spans="1:13" ht="18" customHeight="1">
      <c r="A50" s="121" t="s">
        <v>106</v>
      </c>
      <c r="B50" s="125" t="s">
        <v>78</v>
      </c>
      <c r="C50" s="115" t="s">
        <v>36</v>
      </c>
      <c r="D50" s="156">
        <v>1</v>
      </c>
      <c r="E50" s="127">
        <f t="shared" si="7"/>
        <v>347.57698084437692</v>
      </c>
      <c r="F50" s="110"/>
      <c r="G50" s="102">
        <f t="shared" si="5"/>
        <v>96.776671155623092</v>
      </c>
      <c r="H50" s="106"/>
      <c r="I50" s="127">
        <f t="shared" si="6"/>
        <v>444.35365200000001</v>
      </c>
      <c r="J50" s="110"/>
      <c r="K50" s="300">
        <f>IF(D50=1,0.25%,IF(D50=0,0))</f>
        <v>2.5000000000000001E-3</v>
      </c>
      <c r="L50" s="289">
        <f t="shared" si="9"/>
        <v>2.5000000000000001E-3</v>
      </c>
    </row>
    <row r="51" spans="1:13" ht="18" customHeight="1">
      <c r="A51" s="121" t="s">
        <v>107</v>
      </c>
      <c r="B51" s="125" t="s">
        <v>108</v>
      </c>
      <c r="C51" s="115" t="s">
        <v>36</v>
      </c>
      <c r="D51" s="155">
        <v>0</v>
      </c>
      <c r="E51" s="127">
        <f t="shared" si="7"/>
        <v>0</v>
      </c>
      <c r="F51" s="109"/>
      <c r="G51" s="102">
        <f t="shared" si="5"/>
        <v>0</v>
      </c>
      <c r="H51" s="105"/>
      <c r="I51" s="127">
        <f t="shared" si="6"/>
        <v>0</v>
      </c>
      <c r="J51" s="109"/>
      <c r="K51" s="300">
        <f>IF(D51=1,0.05%,IF(D51=0,0))</f>
        <v>0</v>
      </c>
      <c r="L51" s="289">
        <f t="shared" si="9"/>
        <v>0</v>
      </c>
    </row>
    <row r="52" spans="1:13" ht="18" customHeight="1">
      <c r="A52" s="121" t="s">
        <v>109</v>
      </c>
      <c r="B52" s="125" t="s">
        <v>79</v>
      </c>
      <c r="C52" s="115" t="s">
        <v>36</v>
      </c>
      <c r="D52" s="156">
        <v>1</v>
      </c>
      <c r="E52" s="127">
        <f t="shared" si="7"/>
        <v>208.54618850662615</v>
      </c>
      <c r="F52" s="110"/>
      <c r="G52" s="102">
        <f t="shared" si="5"/>
        <v>58.066002693373832</v>
      </c>
      <c r="H52" s="106"/>
      <c r="I52" s="127">
        <f t="shared" si="6"/>
        <v>266.61219119999998</v>
      </c>
      <c r="J52" s="110"/>
      <c r="K52" s="300">
        <f>IF(D52=1,0.15%,IF(D52=0,0))</f>
        <v>1.5E-3</v>
      </c>
      <c r="L52" s="289">
        <f t="shared" si="9"/>
        <v>1.5E-3</v>
      </c>
    </row>
    <row r="53" spans="1:13" ht="18" customHeight="1">
      <c r="A53" s="121" t="s">
        <v>110</v>
      </c>
      <c r="B53" s="125" t="s">
        <v>80</v>
      </c>
      <c r="C53" s="115" t="s">
        <v>36</v>
      </c>
      <c r="D53" s="155">
        <v>1</v>
      </c>
      <c r="E53" s="127">
        <f t="shared" si="7"/>
        <v>278.06158467550154</v>
      </c>
      <c r="F53" s="109"/>
      <c r="G53" s="102">
        <f t="shared" si="5"/>
        <v>77.421336924498462</v>
      </c>
      <c r="H53" s="105"/>
      <c r="I53" s="127">
        <f t="shared" si="6"/>
        <v>355.4829216</v>
      </c>
      <c r="J53" s="109"/>
      <c r="K53" s="300">
        <f>IF(D53=1,0.2%,IF(D53=0,0))</f>
        <v>2E-3</v>
      </c>
      <c r="L53" s="289">
        <f t="shared" si="9"/>
        <v>2E-3</v>
      </c>
    </row>
    <row r="54" spans="1:13" ht="18" customHeight="1">
      <c r="A54" s="121" t="s">
        <v>111</v>
      </c>
      <c r="B54" s="125" t="s">
        <v>81</v>
      </c>
      <c r="C54" s="115" t="s">
        <v>36</v>
      </c>
      <c r="D54" s="156">
        <v>1</v>
      </c>
      <c r="E54" s="127">
        <f t="shared" si="7"/>
        <v>69.515396168875384</v>
      </c>
      <c r="F54" s="110"/>
      <c r="G54" s="102">
        <f t="shared" si="5"/>
        <v>19.355334231124615</v>
      </c>
      <c r="H54" s="106"/>
      <c r="I54" s="127">
        <f t="shared" si="6"/>
        <v>88.870730399999999</v>
      </c>
      <c r="J54" s="110"/>
      <c r="K54" s="300">
        <f>IF(D54=1,0.05%,IF(D54=0,0))</f>
        <v>5.0000000000000001E-4</v>
      </c>
      <c r="L54" s="289">
        <f t="shared" si="9"/>
        <v>5.0000000000000001E-4</v>
      </c>
    </row>
    <row r="55" spans="1:13" ht="18" customHeight="1">
      <c r="A55" s="121" t="s">
        <v>112</v>
      </c>
      <c r="B55" s="124" t="s">
        <v>54</v>
      </c>
      <c r="C55" s="115" t="s">
        <v>36</v>
      </c>
      <c r="D55" s="156">
        <v>1</v>
      </c>
      <c r="E55" s="127">
        <f t="shared" si="7"/>
        <v>69.515396168875384</v>
      </c>
      <c r="F55" s="110"/>
      <c r="G55" s="102">
        <f t="shared" si="5"/>
        <v>19.355334231124615</v>
      </c>
      <c r="H55" s="106"/>
      <c r="I55" s="127">
        <f t="shared" si="6"/>
        <v>88.870730399999999</v>
      </c>
      <c r="J55" s="110"/>
      <c r="K55" s="300">
        <f>IF(D55=1,0.05%,IF(D55=0,0))</f>
        <v>5.0000000000000001E-4</v>
      </c>
      <c r="L55" s="289">
        <f t="shared" si="9"/>
        <v>5.0000000000000001E-4</v>
      </c>
    </row>
    <row r="56" spans="1:13" ht="18" customHeight="1">
      <c r="A56" s="9"/>
      <c r="B56" s="29"/>
      <c r="C56" s="10"/>
      <c r="D56" s="11"/>
      <c r="E56" s="12"/>
      <c r="F56" s="12"/>
      <c r="G56" s="12"/>
      <c r="H56" s="12"/>
      <c r="I56" s="12"/>
      <c r="J56" s="12"/>
      <c r="K56" s="13"/>
      <c r="L56" s="64"/>
    </row>
    <row r="57" spans="1:13" ht="18" customHeight="1">
      <c r="A57" s="112" t="s">
        <v>23</v>
      </c>
      <c r="B57" s="112" t="s">
        <v>52</v>
      </c>
      <c r="C57" s="112"/>
      <c r="D57" s="70"/>
      <c r="E57" s="303">
        <f>SUM(E58:E87)</f>
        <v>62494.341155818955</v>
      </c>
      <c r="F57" s="304"/>
      <c r="G57" s="303">
        <f>I57-E57</f>
        <v>17400.445473781045</v>
      </c>
      <c r="H57" s="304"/>
      <c r="I57" s="301">
        <f>SUM(I58:I87)</f>
        <v>79894.786629599999</v>
      </c>
      <c r="J57" s="302"/>
      <c r="K57" s="72">
        <f>SUM(K58:K87)</f>
        <v>0.44950000000000018</v>
      </c>
      <c r="L57" s="117">
        <f>SUM(L58:L87)</f>
        <v>0.44950000000000018</v>
      </c>
    </row>
    <row r="58" spans="1:13" ht="18" customHeight="1">
      <c r="A58" s="121" t="s">
        <v>14</v>
      </c>
      <c r="B58" s="124" t="s">
        <v>223</v>
      </c>
      <c r="C58" s="115" t="s">
        <v>36</v>
      </c>
      <c r="D58" s="155">
        <v>1</v>
      </c>
      <c r="E58" s="127">
        <f t="shared" ref="E58:E87" si="11">(I58/(1+$G$19))</f>
        <v>13903.079233775079</v>
      </c>
      <c r="F58" s="109"/>
      <c r="G58" s="102">
        <f t="shared" ref="G58:G87" si="12">I58-E58</f>
        <v>3871.0668462249232</v>
      </c>
      <c r="H58" s="105"/>
      <c r="I58" s="127">
        <f t="shared" ref="I58:I87" si="13">L58*$K$19</f>
        <v>17774.146080000002</v>
      </c>
      <c r="J58" s="109"/>
      <c r="K58" s="300">
        <f>IF(D58=1,10%,IF(D58=0,0))</f>
        <v>0.1</v>
      </c>
      <c r="L58" s="289">
        <f>K58</f>
        <v>0.1</v>
      </c>
    </row>
    <row r="59" spans="1:13" ht="18" customHeight="1">
      <c r="A59" s="121" t="s">
        <v>15</v>
      </c>
      <c r="B59" s="124" t="s">
        <v>133</v>
      </c>
      <c r="C59" s="115" t="s">
        <v>36</v>
      </c>
      <c r="D59" s="156">
        <v>1</v>
      </c>
      <c r="E59" s="127">
        <f t="shared" si="11"/>
        <v>695.15396168875384</v>
      </c>
      <c r="F59" s="110"/>
      <c r="G59" s="102">
        <f t="shared" si="12"/>
        <v>193.55334231124618</v>
      </c>
      <c r="H59" s="106"/>
      <c r="I59" s="127">
        <f t="shared" si="13"/>
        <v>888.70730400000002</v>
      </c>
      <c r="J59" s="110"/>
      <c r="K59" s="300">
        <f>IF(D59=1,0.5%,IF(D59=0,0))</f>
        <v>5.0000000000000001E-3</v>
      </c>
      <c r="L59" s="289">
        <f t="shared" ref="L59:L87" si="14">K59</f>
        <v>5.0000000000000001E-3</v>
      </c>
    </row>
    <row r="60" spans="1:13" ht="18" customHeight="1">
      <c r="A60" s="122" t="s">
        <v>84</v>
      </c>
      <c r="B60" s="122" t="s">
        <v>134</v>
      </c>
      <c r="C60" s="115" t="s">
        <v>36</v>
      </c>
      <c r="D60" s="155">
        <v>1</v>
      </c>
      <c r="E60" s="127">
        <f t="shared" si="11"/>
        <v>208.54618850662615</v>
      </c>
      <c r="F60" s="109"/>
      <c r="G60" s="102">
        <f t="shared" si="12"/>
        <v>58.066002693373832</v>
      </c>
      <c r="H60" s="105"/>
      <c r="I60" s="127">
        <f t="shared" si="13"/>
        <v>266.61219119999998</v>
      </c>
      <c r="J60" s="109"/>
      <c r="K60" s="300">
        <f>IF(D60=1,0.15%,IF(D60=0,0))</f>
        <v>1.5E-3</v>
      </c>
      <c r="L60" s="289">
        <f t="shared" si="14"/>
        <v>1.5E-3</v>
      </c>
    </row>
    <row r="61" spans="1:13" ht="18" customHeight="1">
      <c r="A61" s="121" t="s">
        <v>16</v>
      </c>
      <c r="B61" s="125" t="s">
        <v>65</v>
      </c>
      <c r="C61" s="115" t="s">
        <v>36</v>
      </c>
      <c r="D61" s="156">
        <v>1</v>
      </c>
      <c r="E61" s="127">
        <f t="shared" si="11"/>
        <v>278.06158467550154</v>
      </c>
      <c r="F61" s="110"/>
      <c r="G61" s="102">
        <f t="shared" si="12"/>
        <v>77.421336924498462</v>
      </c>
      <c r="H61" s="106"/>
      <c r="I61" s="127">
        <f t="shared" si="13"/>
        <v>355.4829216</v>
      </c>
      <c r="J61" s="110"/>
      <c r="K61" s="300">
        <f>IF(D61=1,0.2%,IF(D61=0,0))</f>
        <v>2E-3</v>
      </c>
      <c r="L61" s="289">
        <f t="shared" si="14"/>
        <v>2E-3</v>
      </c>
    </row>
    <row r="62" spans="1:13" ht="18" customHeight="1">
      <c r="A62" s="121" t="s">
        <v>41</v>
      </c>
      <c r="B62" s="125" t="s">
        <v>66</v>
      </c>
      <c r="C62" s="115" t="s">
        <v>36</v>
      </c>
      <c r="D62" s="155">
        <v>1</v>
      </c>
      <c r="E62" s="127">
        <f t="shared" si="11"/>
        <v>3475.7698084437698</v>
      </c>
      <c r="F62" s="109"/>
      <c r="G62" s="102">
        <f t="shared" si="12"/>
        <v>967.7667115562308</v>
      </c>
      <c r="H62" s="105"/>
      <c r="I62" s="127">
        <f t="shared" si="13"/>
        <v>4443.5365200000006</v>
      </c>
      <c r="J62" s="109"/>
      <c r="K62" s="300">
        <f>IF(D62=1,2.5%,IF(D62=0,0))</f>
        <v>2.5000000000000001E-2</v>
      </c>
      <c r="L62" s="289">
        <f t="shared" si="14"/>
        <v>2.5000000000000001E-2</v>
      </c>
      <c r="M62" s="24"/>
    </row>
    <row r="63" spans="1:13" ht="18" customHeight="1">
      <c r="A63" s="121" t="s">
        <v>85</v>
      </c>
      <c r="B63" s="125" t="s">
        <v>67</v>
      </c>
      <c r="C63" s="115" t="s">
        <v>36</v>
      </c>
      <c r="D63" s="156">
        <v>1</v>
      </c>
      <c r="E63" s="127">
        <f t="shared" si="11"/>
        <v>12512.771310397569</v>
      </c>
      <c r="F63" s="110"/>
      <c r="G63" s="102">
        <f t="shared" si="12"/>
        <v>3483.9601616024302</v>
      </c>
      <c r="H63" s="106"/>
      <c r="I63" s="127">
        <f t="shared" si="13"/>
        <v>15996.731471999999</v>
      </c>
      <c r="J63" s="110"/>
      <c r="K63" s="300">
        <f>IF(D63=1,9%,IF(D63=0,0))</f>
        <v>0.09</v>
      </c>
      <c r="L63" s="289">
        <f t="shared" si="14"/>
        <v>0.09</v>
      </c>
    </row>
    <row r="64" spans="1:13" ht="18" customHeight="1">
      <c r="A64" s="121" t="s">
        <v>42</v>
      </c>
      <c r="B64" s="125" t="s">
        <v>68</v>
      </c>
      <c r="C64" s="115" t="s">
        <v>36</v>
      </c>
      <c r="D64" s="155">
        <v>1</v>
      </c>
      <c r="E64" s="127">
        <f t="shared" si="11"/>
        <v>1181.7617348708816</v>
      </c>
      <c r="F64" s="109"/>
      <c r="G64" s="102">
        <f t="shared" si="12"/>
        <v>329.04068192911859</v>
      </c>
      <c r="H64" s="105"/>
      <c r="I64" s="127">
        <f t="shared" si="13"/>
        <v>1510.8024168000002</v>
      </c>
      <c r="J64" s="109"/>
      <c r="K64" s="300">
        <f>IF(D64=1,0.85%,IF(D64=0,0))</f>
        <v>8.5000000000000006E-3</v>
      </c>
      <c r="L64" s="289">
        <f t="shared" si="14"/>
        <v>8.5000000000000006E-3</v>
      </c>
    </row>
    <row r="65" spans="1:12" ht="18" customHeight="1">
      <c r="A65" s="121" t="s">
        <v>43</v>
      </c>
      <c r="B65" s="125" t="s">
        <v>244</v>
      </c>
      <c r="C65" s="115" t="s">
        <v>36</v>
      </c>
      <c r="D65" s="156">
        <v>1</v>
      </c>
      <c r="E65" s="127">
        <f t="shared" si="11"/>
        <v>2085.4618850662614</v>
      </c>
      <c r="F65" s="110"/>
      <c r="G65" s="102">
        <f t="shared" si="12"/>
        <v>580.66002693373866</v>
      </c>
      <c r="H65" s="106"/>
      <c r="I65" s="127">
        <f t="shared" si="13"/>
        <v>2666.1219120000001</v>
      </c>
      <c r="J65" s="110"/>
      <c r="K65" s="300">
        <f>IF(D65=1,1.5%,IF(D65=0,0))</f>
        <v>1.4999999999999999E-2</v>
      </c>
      <c r="L65" s="289">
        <f t="shared" si="14"/>
        <v>1.4999999999999999E-2</v>
      </c>
    </row>
    <row r="66" spans="1:12" ht="18" customHeight="1">
      <c r="A66" s="121" t="s">
        <v>44</v>
      </c>
      <c r="B66" s="124" t="s">
        <v>69</v>
      </c>
      <c r="C66" s="115" t="s">
        <v>36</v>
      </c>
      <c r="D66" s="155">
        <v>1</v>
      </c>
      <c r="E66" s="127">
        <f t="shared" si="11"/>
        <v>2085.4618850662614</v>
      </c>
      <c r="F66" s="109"/>
      <c r="G66" s="102">
        <f t="shared" si="12"/>
        <v>580.66002693373866</v>
      </c>
      <c r="H66" s="105"/>
      <c r="I66" s="127">
        <f t="shared" si="13"/>
        <v>2666.1219120000001</v>
      </c>
      <c r="J66" s="109"/>
      <c r="K66" s="300">
        <f>IF(D66=1,1.5%,IF(D66=0,0))</f>
        <v>1.4999999999999999E-2</v>
      </c>
      <c r="L66" s="289">
        <f t="shared" si="14"/>
        <v>1.4999999999999999E-2</v>
      </c>
    </row>
    <row r="67" spans="1:12" ht="18" customHeight="1">
      <c r="A67" s="121" t="s">
        <v>116</v>
      </c>
      <c r="B67" s="124" t="s">
        <v>136</v>
      </c>
      <c r="C67" s="115" t="s">
        <v>36</v>
      </c>
      <c r="D67" s="156">
        <v>1</v>
      </c>
      <c r="E67" s="127">
        <f t="shared" si="11"/>
        <v>695.15396168875384</v>
      </c>
      <c r="F67" s="110"/>
      <c r="G67" s="102">
        <f t="shared" si="12"/>
        <v>193.55334231124618</v>
      </c>
      <c r="H67" s="106"/>
      <c r="I67" s="127">
        <f t="shared" si="13"/>
        <v>888.70730400000002</v>
      </c>
      <c r="J67" s="110"/>
      <c r="K67" s="300">
        <f>IF(D67=1,0.5%,IF(D67=0,0))</f>
        <v>5.0000000000000001E-3</v>
      </c>
      <c r="L67" s="289">
        <f t="shared" si="14"/>
        <v>5.0000000000000001E-3</v>
      </c>
    </row>
    <row r="68" spans="1:12" ht="18" customHeight="1">
      <c r="A68" s="121" t="s">
        <v>117</v>
      </c>
      <c r="B68" s="124" t="s">
        <v>70</v>
      </c>
      <c r="C68" s="115" t="s">
        <v>36</v>
      </c>
      <c r="D68" s="155">
        <v>1</v>
      </c>
      <c r="E68" s="127">
        <f t="shared" si="11"/>
        <v>3475.7698084437698</v>
      </c>
      <c r="F68" s="109"/>
      <c r="G68" s="102">
        <f t="shared" si="12"/>
        <v>967.7667115562308</v>
      </c>
      <c r="H68" s="105"/>
      <c r="I68" s="127">
        <f t="shared" si="13"/>
        <v>4443.5365200000006</v>
      </c>
      <c r="J68" s="109"/>
      <c r="K68" s="300">
        <f>IF(D68=1,2.5%,IF(D68=0,0))</f>
        <v>2.5000000000000001E-2</v>
      </c>
      <c r="L68" s="289">
        <f t="shared" si="14"/>
        <v>2.5000000000000001E-2</v>
      </c>
    </row>
    <row r="69" spans="1:12" ht="18" customHeight="1">
      <c r="A69" s="121" t="s">
        <v>118</v>
      </c>
      <c r="B69" s="124" t="s">
        <v>71</v>
      </c>
      <c r="C69" s="115" t="s">
        <v>36</v>
      </c>
      <c r="D69" s="156">
        <v>1</v>
      </c>
      <c r="E69" s="127">
        <f t="shared" si="11"/>
        <v>2085.4618850662614</v>
      </c>
      <c r="F69" s="110"/>
      <c r="G69" s="102">
        <f t="shared" si="12"/>
        <v>580.66002693373866</v>
      </c>
      <c r="H69" s="106"/>
      <c r="I69" s="127">
        <f t="shared" si="13"/>
        <v>2666.1219120000001</v>
      </c>
      <c r="J69" s="110"/>
      <c r="K69" s="300">
        <f>IF(D69=1,1.5%,IF(D69=0,0))</f>
        <v>1.4999999999999999E-2</v>
      </c>
      <c r="L69" s="289">
        <f t="shared" si="14"/>
        <v>1.4999999999999999E-2</v>
      </c>
    </row>
    <row r="70" spans="1:12" ht="18" customHeight="1">
      <c r="A70" s="121" t="s">
        <v>119</v>
      </c>
      <c r="B70" s="124" t="s">
        <v>72</v>
      </c>
      <c r="C70" s="115" t="s">
        <v>36</v>
      </c>
      <c r="D70" s="155">
        <v>1</v>
      </c>
      <c r="E70" s="127">
        <f t="shared" si="11"/>
        <v>1390.3079233775077</v>
      </c>
      <c r="F70" s="109"/>
      <c r="G70" s="102">
        <f t="shared" si="12"/>
        <v>387.10668462249237</v>
      </c>
      <c r="H70" s="105"/>
      <c r="I70" s="127">
        <f t="shared" si="13"/>
        <v>1777.414608</v>
      </c>
      <c r="J70" s="109"/>
      <c r="K70" s="300">
        <f>IF(D70=1,1%,IF(D70=0,0))</f>
        <v>0.01</v>
      </c>
      <c r="L70" s="289">
        <f t="shared" si="14"/>
        <v>0.01</v>
      </c>
    </row>
    <row r="71" spans="1:12" ht="18" customHeight="1">
      <c r="A71" s="121" t="s">
        <v>120</v>
      </c>
      <c r="B71" s="124" t="s">
        <v>73</v>
      </c>
      <c r="C71" s="115" t="s">
        <v>36</v>
      </c>
      <c r="D71" s="156">
        <v>1</v>
      </c>
      <c r="E71" s="127">
        <f t="shared" si="11"/>
        <v>1390.3079233775077</v>
      </c>
      <c r="F71" s="110"/>
      <c r="G71" s="102">
        <f t="shared" si="12"/>
        <v>387.10668462249237</v>
      </c>
      <c r="H71" s="106"/>
      <c r="I71" s="127">
        <f t="shared" si="13"/>
        <v>1777.414608</v>
      </c>
      <c r="J71" s="110"/>
      <c r="K71" s="300">
        <f>IF(D71=1,1%,IF(D71=0,0))</f>
        <v>0.01</v>
      </c>
      <c r="L71" s="289">
        <f t="shared" si="14"/>
        <v>0.01</v>
      </c>
    </row>
    <row r="72" spans="1:12" ht="18" customHeight="1">
      <c r="A72" s="121" t="s">
        <v>121</v>
      </c>
      <c r="B72" s="125" t="s">
        <v>74</v>
      </c>
      <c r="C72" s="115" t="s">
        <v>36</v>
      </c>
      <c r="D72" s="155">
        <v>1</v>
      </c>
      <c r="E72" s="127">
        <f t="shared" si="11"/>
        <v>2085.4618850662614</v>
      </c>
      <c r="F72" s="109"/>
      <c r="G72" s="102">
        <f t="shared" si="12"/>
        <v>580.66002693373866</v>
      </c>
      <c r="H72" s="105"/>
      <c r="I72" s="127">
        <f t="shared" si="13"/>
        <v>2666.1219120000001</v>
      </c>
      <c r="J72" s="109"/>
      <c r="K72" s="300">
        <f>IF(D72=1,1.5%,IF(D72=0,0))</f>
        <v>1.4999999999999999E-2</v>
      </c>
      <c r="L72" s="289">
        <f t="shared" si="14"/>
        <v>1.4999999999999999E-2</v>
      </c>
    </row>
    <row r="73" spans="1:12" ht="18" customHeight="1">
      <c r="A73" s="121" t="s">
        <v>122</v>
      </c>
      <c r="B73" s="125" t="s">
        <v>246</v>
      </c>
      <c r="C73" s="115" t="s">
        <v>36</v>
      </c>
      <c r="D73" s="156">
        <v>1</v>
      </c>
      <c r="E73" s="127">
        <f t="shared" si="11"/>
        <v>2085.4618850662614</v>
      </c>
      <c r="F73" s="110"/>
      <c r="G73" s="102">
        <f t="shared" si="12"/>
        <v>580.66002693373866</v>
      </c>
      <c r="H73" s="106"/>
      <c r="I73" s="127">
        <f t="shared" si="13"/>
        <v>2666.1219120000001</v>
      </c>
      <c r="J73" s="110"/>
      <c r="K73" s="300">
        <f t="shared" ref="K73:K74" si="15">IF(D73=1,1.5%,IF(D73=0,0))</f>
        <v>1.4999999999999999E-2</v>
      </c>
      <c r="L73" s="289">
        <f t="shared" si="14"/>
        <v>1.4999999999999999E-2</v>
      </c>
    </row>
    <row r="74" spans="1:12" ht="18" customHeight="1">
      <c r="A74" s="121" t="s">
        <v>123</v>
      </c>
      <c r="B74" s="122" t="s">
        <v>75</v>
      </c>
      <c r="C74" s="115" t="s">
        <v>36</v>
      </c>
      <c r="D74" s="155">
        <v>1</v>
      </c>
      <c r="E74" s="127">
        <f t="shared" si="11"/>
        <v>2085.4618850662614</v>
      </c>
      <c r="F74" s="109"/>
      <c r="G74" s="102">
        <f t="shared" si="12"/>
        <v>580.66002693373866</v>
      </c>
      <c r="H74" s="105"/>
      <c r="I74" s="127">
        <f t="shared" si="13"/>
        <v>2666.1219120000001</v>
      </c>
      <c r="J74" s="109"/>
      <c r="K74" s="300">
        <f t="shared" si="15"/>
        <v>1.4999999999999999E-2</v>
      </c>
      <c r="L74" s="289">
        <f t="shared" si="14"/>
        <v>1.4999999999999999E-2</v>
      </c>
    </row>
    <row r="75" spans="1:12" ht="18" customHeight="1">
      <c r="A75" s="121" t="s">
        <v>124</v>
      </c>
      <c r="B75" s="122" t="s">
        <v>76</v>
      </c>
      <c r="C75" s="115" t="s">
        <v>36</v>
      </c>
      <c r="D75" s="156">
        <v>1</v>
      </c>
      <c r="E75" s="127">
        <f t="shared" si="11"/>
        <v>2224.4926774040123</v>
      </c>
      <c r="F75" s="110"/>
      <c r="G75" s="102">
        <f t="shared" si="12"/>
        <v>619.3706953959877</v>
      </c>
      <c r="H75" s="106"/>
      <c r="I75" s="127">
        <f t="shared" si="13"/>
        <v>2843.8633728</v>
      </c>
      <c r="J75" s="110"/>
      <c r="K75" s="300">
        <f>IF(D75=1,1.6%,IF(D75=0,0))</f>
        <v>1.6E-2</v>
      </c>
      <c r="L75" s="289">
        <f t="shared" si="14"/>
        <v>1.6E-2</v>
      </c>
    </row>
    <row r="76" spans="1:12" ht="18" customHeight="1">
      <c r="A76" s="121" t="s">
        <v>125</v>
      </c>
      <c r="B76" s="125" t="s">
        <v>77</v>
      </c>
      <c r="C76" s="115" t="s">
        <v>36</v>
      </c>
      <c r="D76" s="155">
        <v>1</v>
      </c>
      <c r="E76" s="127">
        <f t="shared" si="11"/>
        <v>2780.6158467550154</v>
      </c>
      <c r="F76" s="109"/>
      <c r="G76" s="102">
        <f t="shared" si="12"/>
        <v>774.21336924498473</v>
      </c>
      <c r="H76" s="105"/>
      <c r="I76" s="127">
        <f t="shared" si="13"/>
        <v>3554.8292160000001</v>
      </c>
      <c r="J76" s="109"/>
      <c r="K76" s="300">
        <f>IF(D76=1,2%,IF(D76=0,0))</f>
        <v>0.02</v>
      </c>
      <c r="L76" s="289">
        <f t="shared" si="14"/>
        <v>0.02</v>
      </c>
    </row>
    <row r="77" spans="1:12" ht="18" customHeight="1">
      <c r="A77" s="121" t="s">
        <v>126</v>
      </c>
      <c r="B77" s="125" t="s">
        <v>78</v>
      </c>
      <c r="C77" s="115" t="s">
        <v>36</v>
      </c>
      <c r="D77" s="156">
        <v>1</v>
      </c>
      <c r="E77" s="127">
        <f t="shared" si="11"/>
        <v>2085.4618850662614</v>
      </c>
      <c r="F77" s="110"/>
      <c r="G77" s="102">
        <f t="shared" si="12"/>
        <v>580.66002693373866</v>
      </c>
      <c r="H77" s="106"/>
      <c r="I77" s="127">
        <f t="shared" si="13"/>
        <v>2666.1219120000001</v>
      </c>
      <c r="J77" s="110"/>
      <c r="K77" s="300">
        <f>IF(D77=1,1.5%,IF(D77=0,0))</f>
        <v>1.4999999999999999E-2</v>
      </c>
      <c r="L77" s="289">
        <f t="shared" si="14"/>
        <v>1.4999999999999999E-2</v>
      </c>
    </row>
    <row r="78" spans="1:12" ht="18" customHeight="1">
      <c r="A78" s="121" t="s">
        <v>127</v>
      </c>
      <c r="B78" s="125" t="s">
        <v>108</v>
      </c>
      <c r="C78" s="115" t="s">
        <v>36</v>
      </c>
      <c r="D78" s="155">
        <v>0</v>
      </c>
      <c r="E78" s="127">
        <f t="shared" si="11"/>
        <v>0</v>
      </c>
      <c r="F78" s="109"/>
      <c r="G78" s="102">
        <f t="shared" si="12"/>
        <v>0</v>
      </c>
      <c r="H78" s="105"/>
      <c r="I78" s="127">
        <f t="shared" si="13"/>
        <v>0</v>
      </c>
      <c r="J78" s="109"/>
      <c r="K78" s="300">
        <f t="shared" ref="K78" si="16">IF(D78=1,0.05%,IF(D78=0,0))</f>
        <v>0</v>
      </c>
      <c r="L78" s="289">
        <f t="shared" si="14"/>
        <v>0</v>
      </c>
    </row>
    <row r="79" spans="1:12" ht="18" customHeight="1">
      <c r="A79" s="121" t="s">
        <v>128</v>
      </c>
      <c r="B79" s="125" t="s">
        <v>79</v>
      </c>
      <c r="C79" s="115" t="s">
        <v>36</v>
      </c>
      <c r="D79" s="156">
        <v>1</v>
      </c>
      <c r="E79" s="127">
        <f t="shared" si="11"/>
        <v>139.03079233775077</v>
      </c>
      <c r="F79" s="110"/>
      <c r="G79" s="102">
        <f t="shared" si="12"/>
        <v>38.710668462249231</v>
      </c>
      <c r="H79" s="106"/>
      <c r="I79" s="127">
        <f t="shared" si="13"/>
        <v>177.7414608</v>
      </c>
      <c r="J79" s="110"/>
      <c r="K79" s="300">
        <f>IF(D79=1,0.1%,IF(D79=0,0))</f>
        <v>1E-3</v>
      </c>
      <c r="L79" s="289">
        <f t="shared" si="14"/>
        <v>1E-3</v>
      </c>
    </row>
    <row r="80" spans="1:12" ht="18" customHeight="1">
      <c r="A80" s="121" t="s">
        <v>129</v>
      </c>
      <c r="B80" s="125" t="s">
        <v>80</v>
      </c>
      <c r="C80" s="115" t="s">
        <v>36</v>
      </c>
      <c r="D80" s="155">
        <v>1</v>
      </c>
      <c r="E80" s="127">
        <f t="shared" si="11"/>
        <v>347.57698084437692</v>
      </c>
      <c r="F80" s="109"/>
      <c r="G80" s="102">
        <f t="shared" si="12"/>
        <v>96.776671155623092</v>
      </c>
      <c r="H80" s="105"/>
      <c r="I80" s="127">
        <f t="shared" si="13"/>
        <v>444.35365200000001</v>
      </c>
      <c r="J80" s="109"/>
      <c r="K80" s="300">
        <f>IF(D80=1,0.25%,IF(D80=0,0))</f>
        <v>2.5000000000000001E-3</v>
      </c>
      <c r="L80" s="289">
        <f t="shared" si="14"/>
        <v>2.5000000000000001E-3</v>
      </c>
    </row>
    <row r="81" spans="1:13" ht="18" customHeight="1">
      <c r="A81" s="121" t="s">
        <v>130</v>
      </c>
      <c r="B81" s="125" t="s">
        <v>81</v>
      </c>
      <c r="C81" s="115" t="s">
        <v>36</v>
      </c>
      <c r="D81" s="156">
        <v>1</v>
      </c>
      <c r="E81" s="127">
        <f t="shared" si="11"/>
        <v>139.03079233775077</v>
      </c>
      <c r="F81" s="110"/>
      <c r="G81" s="102">
        <f t="shared" si="12"/>
        <v>38.710668462249231</v>
      </c>
      <c r="H81" s="106"/>
      <c r="I81" s="127">
        <f t="shared" si="13"/>
        <v>177.7414608</v>
      </c>
      <c r="J81" s="110"/>
      <c r="K81" s="300">
        <f>IF(D81=1,0.1%,IF(D81=0,0))</f>
        <v>1E-3</v>
      </c>
      <c r="L81" s="289">
        <f t="shared" si="14"/>
        <v>1E-3</v>
      </c>
    </row>
    <row r="82" spans="1:13" ht="18" customHeight="1">
      <c r="A82" s="121" t="s">
        <v>131</v>
      </c>
      <c r="B82" s="124" t="s">
        <v>54</v>
      </c>
      <c r="C82" s="115" t="s">
        <v>36</v>
      </c>
      <c r="D82" s="155">
        <v>1</v>
      </c>
      <c r="E82" s="127">
        <f t="shared" si="11"/>
        <v>69.515396168875384</v>
      </c>
      <c r="F82" s="109"/>
      <c r="G82" s="102">
        <f t="shared" si="12"/>
        <v>19.355334231124615</v>
      </c>
      <c r="H82" s="105"/>
      <c r="I82" s="127">
        <f t="shared" si="13"/>
        <v>88.870730399999999</v>
      </c>
      <c r="J82" s="109"/>
      <c r="K82" s="300">
        <f>IF(D82=1,0.05%,IF(D82=0,0))</f>
        <v>5.0000000000000001E-4</v>
      </c>
      <c r="L82" s="289">
        <f t="shared" si="14"/>
        <v>5.0000000000000001E-4</v>
      </c>
    </row>
    <row r="83" spans="1:13" ht="18" customHeight="1">
      <c r="A83" s="123" t="s">
        <v>171</v>
      </c>
      <c r="B83" s="125" t="s">
        <v>160</v>
      </c>
      <c r="C83" s="115" t="s">
        <v>36</v>
      </c>
      <c r="D83" s="156">
        <v>1</v>
      </c>
      <c r="E83" s="127">
        <f t="shared" si="11"/>
        <v>695.15396168875384</v>
      </c>
      <c r="F83" s="110"/>
      <c r="G83" s="102">
        <f t="shared" si="12"/>
        <v>193.55334231124618</v>
      </c>
      <c r="H83" s="106"/>
      <c r="I83" s="127">
        <f t="shared" si="13"/>
        <v>888.70730400000002</v>
      </c>
      <c r="J83" s="110"/>
      <c r="K83" s="300">
        <f>IF(D83=1,0.5%,IF(D83=0,0))</f>
        <v>5.0000000000000001E-3</v>
      </c>
      <c r="L83" s="289">
        <f t="shared" si="14"/>
        <v>5.0000000000000001E-3</v>
      </c>
    </row>
    <row r="84" spans="1:13" ht="18" customHeight="1">
      <c r="A84" s="123" t="s">
        <v>172</v>
      </c>
      <c r="B84" s="124" t="s">
        <v>161</v>
      </c>
      <c r="C84" s="115" t="s">
        <v>36</v>
      </c>
      <c r="D84" s="155">
        <v>1</v>
      </c>
      <c r="E84" s="127">
        <f t="shared" si="11"/>
        <v>1042.7309425331307</v>
      </c>
      <c r="F84" s="109"/>
      <c r="G84" s="102">
        <f t="shared" si="12"/>
        <v>290.33001346686933</v>
      </c>
      <c r="H84" s="105"/>
      <c r="I84" s="127">
        <f t="shared" si="13"/>
        <v>1333.060956</v>
      </c>
      <c r="J84" s="109"/>
      <c r="K84" s="300">
        <f>IF(D84=1,0.75%,IF(D84=0,0))</f>
        <v>7.4999999999999997E-3</v>
      </c>
      <c r="L84" s="289">
        <f t="shared" si="14"/>
        <v>7.4999999999999997E-3</v>
      </c>
    </row>
    <row r="85" spans="1:13" ht="18" customHeight="1">
      <c r="A85" s="123" t="s">
        <v>173</v>
      </c>
      <c r="B85" s="124" t="s">
        <v>162</v>
      </c>
      <c r="C85" s="115" t="s">
        <v>36</v>
      </c>
      <c r="D85" s="156">
        <v>1</v>
      </c>
      <c r="E85" s="127">
        <f t="shared" si="11"/>
        <v>695.15396168875384</v>
      </c>
      <c r="F85" s="110"/>
      <c r="G85" s="102">
        <f t="shared" si="12"/>
        <v>193.55334231124618</v>
      </c>
      <c r="H85" s="106"/>
      <c r="I85" s="127">
        <f t="shared" si="13"/>
        <v>888.70730400000002</v>
      </c>
      <c r="J85" s="110"/>
      <c r="K85" s="300">
        <f>IF(D85=1,0.5%,IF(D85=0,0))</f>
        <v>5.0000000000000001E-3</v>
      </c>
      <c r="L85" s="289">
        <f t="shared" si="14"/>
        <v>5.0000000000000001E-3</v>
      </c>
    </row>
    <row r="86" spans="1:13" ht="18" customHeight="1">
      <c r="A86" s="123" t="s">
        <v>174</v>
      </c>
      <c r="B86" s="125" t="s">
        <v>132</v>
      </c>
      <c r="C86" s="115" t="s">
        <v>36</v>
      </c>
      <c r="D86" s="155">
        <v>1</v>
      </c>
      <c r="E86" s="127">
        <f t="shared" si="11"/>
        <v>347.57698084437692</v>
      </c>
      <c r="F86" s="109"/>
      <c r="G86" s="102">
        <f t="shared" si="12"/>
        <v>96.776671155623092</v>
      </c>
      <c r="H86" s="105"/>
      <c r="I86" s="127">
        <f t="shared" si="13"/>
        <v>444.35365200000001</v>
      </c>
      <c r="J86" s="109"/>
      <c r="K86" s="300">
        <f>IF(D86=1,0.25%,IF(D86=0,0))</f>
        <v>2.5000000000000001E-3</v>
      </c>
      <c r="L86" s="289">
        <f t="shared" si="14"/>
        <v>2.5000000000000001E-3</v>
      </c>
    </row>
    <row r="87" spans="1:13" ht="18" customHeight="1">
      <c r="A87" s="123" t="s">
        <v>184</v>
      </c>
      <c r="B87" s="125" t="s">
        <v>185</v>
      </c>
      <c r="C87" s="115" t="s">
        <v>36</v>
      </c>
      <c r="D87" s="156">
        <v>1</v>
      </c>
      <c r="E87" s="127">
        <f t="shared" si="11"/>
        <v>208.54618850662615</v>
      </c>
      <c r="F87" s="110"/>
      <c r="G87" s="102">
        <f t="shared" si="12"/>
        <v>58.066002693373832</v>
      </c>
      <c r="H87" s="106"/>
      <c r="I87" s="127">
        <f t="shared" si="13"/>
        <v>266.61219119999998</v>
      </c>
      <c r="J87" s="110"/>
      <c r="K87" s="300">
        <f>IF(D87=1,0.15%,IF(D87=0,0))</f>
        <v>1.5E-3</v>
      </c>
      <c r="L87" s="289">
        <f t="shared" si="14"/>
        <v>1.5E-3</v>
      </c>
    </row>
    <row r="88" spans="1:13" ht="18" customHeight="1">
      <c r="A88" s="30"/>
      <c r="B88" s="31"/>
      <c r="C88" s="32"/>
      <c r="D88" s="11"/>
      <c r="E88" s="12"/>
      <c r="F88" s="12"/>
      <c r="G88" s="12"/>
      <c r="H88" s="12"/>
      <c r="I88" s="12"/>
      <c r="J88" s="12"/>
      <c r="K88" s="13"/>
      <c r="L88" s="64"/>
    </row>
    <row r="89" spans="1:13" ht="18" customHeight="1">
      <c r="A89" s="112" t="s">
        <v>24</v>
      </c>
      <c r="B89" s="69" t="s">
        <v>56</v>
      </c>
      <c r="C89" s="112"/>
      <c r="D89" s="113"/>
      <c r="E89" s="303">
        <f>SUM(E90:E121)</f>
        <v>34688.182688268818</v>
      </c>
      <c r="F89" s="304"/>
      <c r="G89" s="303">
        <f>I89-E89</f>
        <v>9658.311781331191</v>
      </c>
      <c r="H89" s="304"/>
      <c r="I89" s="301">
        <f>SUM(I90:I121)</f>
        <v>44346.494469600009</v>
      </c>
      <c r="J89" s="302"/>
      <c r="K89" s="117">
        <f>SUM(K90:K121)</f>
        <v>0.24950000000000011</v>
      </c>
      <c r="L89" s="117">
        <f>SUM(L90:L121)</f>
        <v>0.24950000000000011</v>
      </c>
    </row>
    <row r="90" spans="1:13" ht="18" customHeight="1">
      <c r="A90" s="121" t="s">
        <v>0</v>
      </c>
      <c r="B90" s="65" t="s">
        <v>223</v>
      </c>
      <c r="C90" s="115" t="s">
        <v>36</v>
      </c>
      <c r="D90" s="154">
        <v>1</v>
      </c>
      <c r="E90" s="127">
        <f t="shared" ref="E90:E121" si="17">(I90/(1+$G$19))</f>
        <v>11817.617348708816</v>
      </c>
      <c r="F90" s="109"/>
      <c r="G90" s="102">
        <f t="shared" ref="G90:G121" si="18">I90-E90</f>
        <v>3290.4068192911855</v>
      </c>
      <c r="H90" s="119"/>
      <c r="I90" s="127">
        <f t="shared" ref="I90:I121" si="19">L90*$K$19</f>
        <v>15108.024168000002</v>
      </c>
      <c r="J90" s="66"/>
      <c r="K90" s="118">
        <f>IF(D90=1,8.5%,IF(D90=0,0))</f>
        <v>8.5000000000000006E-2</v>
      </c>
      <c r="L90" s="289">
        <f>K90</f>
        <v>8.5000000000000006E-2</v>
      </c>
      <c r="M90" s="24"/>
    </row>
    <row r="91" spans="1:13" ht="18" customHeight="1">
      <c r="A91" s="121" t="s">
        <v>17</v>
      </c>
      <c r="B91" s="67" t="s">
        <v>133</v>
      </c>
      <c r="C91" s="115" t="s">
        <v>36</v>
      </c>
      <c r="D91" s="154">
        <v>1</v>
      </c>
      <c r="E91" s="127">
        <f t="shared" si="17"/>
        <v>3475.7698084437698</v>
      </c>
      <c r="F91" s="110"/>
      <c r="G91" s="102">
        <f t="shared" si="18"/>
        <v>967.7667115562308</v>
      </c>
      <c r="H91" s="120"/>
      <c r="I91" s="127">
        <f t="shared" si="19"/>
        <v>4443.5365200000006</v>
      </c>
      <c r="J91" s="68"/>
      <c r="K91" s="118">
        <f>IF(D91=1,2.5%,IF(D91=0,0))</f>
        <v>2.5000000000000001E-2</v>
      </c>
      <c r="L91" s="289">
        <f t="shared" ref="L91:L121" si="20">K91</f>
        <v>2.5000000000000001E-2</v>
      </c>
    </row>
    <row r="92" spans="1:13" ht="18" customHeight="1">
      <c r="A92" s="122" t="s">
        <v>18</v>
      </c>
      <c r="B92" s="34" t="s">
        <v>134</v>
      </c>
      <c r="C92" s="115" t="s">
        <v>36</v>
      </c>
      <c r="D92" s="154">
        <v>1</v>
      </c>
      <c r="E92" s="127">
        <f t="shared" si="17"/>
        <v>139.03079233775077</v>
      </c>
      <c r="F92" s="109"/>
      <c r="G92" s="102">
        <f t="shared" si="18"/>
        <v>38.710668462249231</v>
      </c>
      <c r="H92" s="119"/>
      <c r="I92" s="127">
        <f t="shared" si="19"/>
        <v>177.7414608</v>
      </c>
      <c r="J92" s="66"/>
      <c r="K92" s="118">
        <f>IF(D92=1,0.1%,IF(D92=0,0))</f>
        <v>1E-3</v>
      </c>
      <c r="L92" s="289">
        <f t="shared" si="20"/>
        <v>1E-3</v>
      </c>
    </row>
    <row r="93" spans="1:13" ht="18" customHeight="1">
      <c r="A93" s="121" t="s">
        <v>19</v>
      </c>
      <c r="B93" s="74" t="s">
        <v>65</v>
      </c>
      <c r="C93" s="115" t="s">
        <v>36</v>
      </c>
      <c r="D93" s="154">
        <v>1</v>
      </c>
      <c r="E93" s="127">
        <f t="shared" si="17"/>
        <v>69.515396168875384</v>
      </c>
      <c r="F93" s="110"/>
      <c r="G93" s="102">
        <f t="shared" si="18"/>
        <v>19.355334231124615</v>
      </c>
      <c r="H93" s="120"/>
      <c r="I93" s="127">
        <f t="shared" si="19"/>
        <v>88.870730399999999</v>
      </c>
      <c r="J93" s="68"/>
      <c r="K93" s="118">
        <f>IF(D93=1,0.05%,IF(D93=0,0))</f>
        <v>5.0000000000000001E-4</v>
      </c>
      <c r="L93" s="289">
        <f t="shared" si="20"/>
        <v>5.0000000000000001E-4</v>
      </c>
    </row>
    <row r="94" spans="1:13" ht="18" customHeight="1">
      <c r="A94" s="121" t="s">
        <v>45</v>
      </c>
      <c r="B94" s="73" t="s">
        <v>66</v>
      </c>
      <c r="C94" s="115" t="s">
        <v>36</v>
      </c>
      <c r="D94" s="154">
        <v>1</v>
      </c>
      <c r="E94" s="127">
        <f t="shared" si="17"/>
        <v>1390.3079233775077</v>
      </c>
      <c r="F94" s="109"/>
      <c r="G94" s="102">
        <f t="shared" si="18"/>
        <v>387.10668462249237</v>
      </c>
      <c r="H94" s="119"/>
      <c r="I94" s="127">
        <f t="shared" si="19"/>
        <v>1777.414608</v>
      </c>
      <c r="J94" s="66"/>
      <c r="K94" s="118">
        <f>IF(D94=1,1%,IF(D94=0,0))</f>
        <v>0.01</v>
      </c>
      <c r="L94" s="289">
        <f t="shared" si="20"/>
        <v>0.01</v>
      </c>
      <c r="M94" s="22"/>
    </row>
    <row r="95" spans="1:13" ht="18" customHeight="1">
      <c r="A95" s="121" t="s">
        <v>86</v>
      </c>
      <c r="B95" s="74" t="s">
        <v>67</v>
      </c>
      <c r="C95" s="115" t="s">
        <v>36</v>
      </c>
      <c r="D95" s="154">
        <v>1</v>
      </c>
      <c r="E95" s="127">
        <f t="shared" si="17"/>
        <v>4170.9237701325228</v>
      </c>
      <c r="F95" s="110"/>
      <c r="G95" s="102">
        <f t="shared" si="18"/>
        <v>1161.3200538674773</v>
      </c>
      <c r="H95" s="120"/>
      <c r="I95" s="127">
        <f t="shared" si="19"/>
        <v>5332.2438240000001</v>
      </c>
      <c r="J95" s="68"/>
      <c r="K95" s="118">
        <f>IF(D95=1,3%,IF(D95=0,0))</f>
        <v>0.03</v>
      </c>
      <c r="L95" s="289">
        <f t="shared" si="20"/>
        <v>0.03</v>
      </c>
    </row>
    <row r="96" spans="1:13" ht="18" customHeight="1">
      <c r="A96" s="121" t="s">
        <v>46</v>
      </c>
      <c r="B96" s="73" t="s">
        <v>68</v>
      </c>
      <c r="C96" s="115" t="s">
        <v>36</v>
      </c>
      <c r="D96" s="154">
        <v>1</v>
      </c>
      <c r="E96" s="127">
        <f t="shared" si="17"/>
        <v>695.15396168875384</v>
      </c>
      <c r="F96" s="109"/>
      <c r="G96" s="102">
        <f t="shared" si="18"/>
        <v>193.55334231124618</v>
      </c>
      <c r="H96" s="119"/>
      <c r="I96" s="127">
        <f t="shared" si="19"/>
        <v>888.70730400000002</v>
      </c>
      <c r="J96" s="66"/>
      <c r="K96" s="118">
        <f>IF(D96=1,0.5%,IF(D96=0,0))</f>
        <v>5.0000000000000001E-3</v>
      </c>
      <c r="L96" s="289">
        <f t="shared" si="20"/>
        <v>5.0000000000000001E-3</v>
      </c>
    </row>
    <row r="97" spans="1:12" ht="18" customHeight="1">
      <c r="A97" s="121" t="s">
        <v>1</v>
      </c>
      <c r="B97" s="74" t="s">
        <v>244</v>
      </c>
      <c r="C97" s="115" t="s">
        <v>36</v>
      </c>
      <c r="D97" s="154">
        <v>1</v>
      </c>
      <c r="E97" s="127">
        <f t="shared" si="17"/>
        <v>695.15396168875384</v>
      </c>
      <c r="F97" s="110"/>
      <c r="G97" s="102">
        <f t="shared" si="18"/>
        <v>193.55334231124618</v>
      </c>
      <c r="H97" s="120"/>
      <c r="I97" s="127">
        <f t="shared" si="19"/>
        <v>888.70730400000002</v>
      </c>
      <c r="J97" s="68"/>
      <c r="K97" s="118">
        <f t="shared" ref="K97:K98" si="21">IF(D97=1,0.5%,IF(D97=0,0))</f>
        <v>5.0000000000000001E-3</v>
      </c>
      <c r="L97" s="289">
        <f t="shared" si="20"/>
        <v>5.0000000000000001E-3</v>
      </c>
    </row>
    <row r="98" spans="1:12" ht="18" customHeight="1">
      <c r="A98" s="121" t="s">
        <v>137</v>
      </c>
      <c r="B98" s="65" t="s">
        <v>69</v>
      </c>
      <c r="C98" s="115" t="s">
        <v>36</v>
      </c>
      <c r="D98" s="154">
        <v>1</v>
      </c>
      <c r="E98" s="127">
        <f t="shared" si="17"/>
        <v>695.15396168875384</v>
      </c>
      <c r="F98" s="109"/>
      <c r="G98" s="102">
        <f t="shared" si="18"/>
        <v>193.55334231124618</v>
      </c>
      <c r="H98" s="119"/>
      <c r="I98" s="127">
        <f t="shared" si="19"/>
        <v>888.70730400000002</v>
      </c>
      <c r="J98" s="66"/>
      <c r="K98" s="118">
        <f t="shared" si="21"/>
        <v>5.0000000000000001E-3</v>
      </c>
      <c r="L98" s="289">
        <f t="shared" si="20"/>
        <v>5.0000000000000001E-3</v>
      </c>
    </row>
    <row r="99" spans="1:12" ht="18" customHeight="1">
      <c r="A99" s="121" t="s">
        <v>138</v>
      </c>
      <c r="B99" s="67" t="s">
        <v>247</v>
      </c>
      <c r="C99" s="115" t="s">
        <v>36</v>
      </c>
      <c r="D99" s="154">
        <v>1</v>
      </c>
      <c r="E99" s="127">
        <f t="shared" si="17"/>
        <v>347.57698084437692</v>
      </c>
      <c r="F99" s="110"/>
      <c r="G99" s="102">
        <f t="shared" si="18"/>
        <v>96.776671155623092</v>
      </c>
      <c r="H99" s="120"/>
      <c r="I99" s="127">
        <f t="shared" si="19"/>
        <v>444.35365200000001</v>
      </c>
      <c r="J99" s="68"/>
      <c r="K99" s="118">
        <f>IF(D99=1,0.25%,IF(D99=0,0))</f>
        <v>2.5000000000000001E-3</v>
      </c>
      <c r="L99" s="289">
        <f t="shared" si="20"/>
        <v>2.5000000000000001E-3</v>
      </c>
    </row>
    <row r="100" spans="1:12" ht="18" customHeight="1">
      <c r="A100" s="121" t="s">
        <v>139</v>
      </c>
      <c r="B100" s="65" t="s">
        <v>70</v>
      </c>
      <c r="C100" s="115" t="s">
        <v>36</v>
      </c>
      <c r="D100" s="154">
        <v>1</v>
      </c>
      <c r="E100" s="127">
        <f t="shared" si="17"/>
        <v>1390.3079233775077</v>
      </c>
      <c r="F100" s="109"/>
      <c r="G100" s="102">
        <f t="shared" si="18"/>
        <v>387.10668462249237</v>
      </c>
      <c r="H100" s="119"/>
      <c r="I100" s="127">
        <f t="shared" si="19"/>
        <v>1777.414608</v>
      </c>
      <c r="J100" s="66"/>
      <c r="K100" s="118">
        <f>IF(D100=1,1%,IF(D100=0,0))</f>
        <v>0.01</v>
      </c>
      <c r="L100" s="289">
        <f t="shared" si="20"/>
        <v>0.01</v>
      </c>
    </row>
    <row r="101" spans="1:12" ht="18" customHeight="1">
      <c r="A101" s="121" t="s">
        <v>140</v>
      </c>
      <c r="B101" s="67" t="s">
        <v>71</v>
      </c>
      <c r="C101" s="115" t="s">
        <v>36</v>
      </c>
      <c r="D101" s="154">
        <v>1</v>
      </c>
      <c r="E101" s="127">
        <f t="shared" si="17"/>
        <v>1390.3079233775077</v>
      </c>
      <c r="F101" s="110"/>
      <c r="G101" s="102">
        <f t="shared" si="18"/>
        <v>387.10668462249237</v>
      </c>
      <c r="H101" s="120"/>
      <c r="I101" s="127">
        <f t="shared" si="19"/>
        <v>1777.414608</v>
      </c>
      <c r="J101" s="68"/>
      <c r="K101" s="118">
        <f>IF(D101=1,1%,IF(D101=0,0))</f>
        <v>0.01</v>
      </c>
      <c r="L101" s="289">
        <f t="shared" si="20"/>
        <v>0.01</v>
      </c>
    </row>
    <row r="102" spans="1:12" ht="18" customHeight="1">
      <c r="A102" s="121" t="s">
        <v>141</v>
      </c>
      <c r="B102" s="65" t="s">
        <v>72</v>
      </c>
      <c r="C102" s="115" t="s">
        <v>36</v>
      </c>
      <c r="D102" s="154">
        <v>1</v>
      </c>
      <c r="E102" s="127">
        <f t="shared" si="17"/>
        <v>417.0923770132523</v>
      </c>
      <c r="F102" s="109"/>
      <c r="G102" s="102">
        <f t="shared" si="18"/>
        <v>116.13200538674766</v>
      </c>
      <c r="H102" s="119"/>
      <c r="I102" s="127">
        <f t="shared" si="19"/>
        <v>533.22438239999997</v>
      </c>
      <c r="J102" s="66"/>
      <c r="K102" s="118">
        <f>IF(D102=1,0.3%,IF(D102=0,0))</f>
        <v>3.0000000000000001E-3</v>
      </c>
      <c r="L102" s="289">
        <f t="shared" si="20"/>
        <v>3.0000000000000001E-3</v>
      </c>
    </row>
    <row r="103" spans="1:12" ht="18" customHeight="1">
      <c r="A103" s="121" t="s">
        <v>142</v>
      </c>
      <c r="B103" s="67" t="s">
        <v>73</v>
      </c>
      <c r="C103" s="115" t="s">
        <v>36</v>
      </c>
      <c r="D103" s="154">
        <v>1</v>
      </c>
      <c r="E103" s="127">
        <f t="shared" si="17"/>
        <v>486.60777318212763</v>
      </c>
      <c r="F103" s="110"/>
      <c r="G103" s="102">
        <f t="shared" si="18"/>
        <v>135.48733961787229</v>
      </c>
      <c r="H103" s="120"/>
      <c r="I103" s="127">
        <f t="shared" si="19"/>
        <v>622.09511279999992</v>
      </c>
      <c r="J103" s="68"/>
      <c r="K103" s="118">
        <f>IF(D103=1,0.35%,IF(D103=0,0))</f>
        <v>3.4999999999999996E-3</v>
      </c>
      <c r="L103" s="289">
        <f t="shared" si="20"/>
        <v>3.4999999999999996E-3</v>
      </c>
    </row>
    <row r="104" spans="1:12" ht="18" customHeight="1">
      <c r="A104" s="121" t="s">
        <v>143</v>
      </c>
      <c r="B104" s="73" t="s">
        <v>74</v>
      </c>
      <c r="C104" s="115" t="s">
        <v>36</v>
      </c>
      <c r="D104" s="154">
        <v>1</v>
      </c>
      <c r="E104" s="127">
        <f t="shared" si="17"/>
        <v>695.15396168875384</v>
      </c>
      <c r="F104" s="109"/>
      <c r="G104" s="102">
        <f t="shared" si="18"/>
        <v>193.55334231124618</v>
      </c>
      <c r="H104" s="119"/>
      <c r="I104" s="127">
        <f t="shared" si="19"/>
        <v>888.70730400000002</v>
      </c>
      <c r="J104" s="66"/>
      <c r="K104" s="118">
        <f>IF(D104=1,0.5%,IF(D104=0,0))</f>
        <v>5.0000000000000001E-3</v>
      </c>
      <c r="L104" s="289">
        <f t="shared" si="20"/>
        <v>5.0000000000000001E-3</v>
      </c>
    </row>
    <row r="105" spans="1:12" ht="18" customHeight="1">
      <c r="A105" s="121" t="s">
        <v>144</v>
      </c>
      <c r="B105" s="74" t="s">
        <v>245</v>
      </c>
      <c r="C105" s="115" t="s">
        <v>36</v>
      </c>
      <c r="D105" s="154">
        <v>1</v>
      </c>
      <c r="E105" s="127">
        <f t="shared" si="17"/>
        <v>695.15396168875384</v>
      </c>
      <c r="F105" s="110"/>
      <c r="G105" s="102">
        <f t="shared" si="18"/>
        <v>193.55334231124618</v>
      </c>
      <c r="H105" s="120"/>
      <c r="I105" s="127">
        <f t="shared" si="19"/>
        <v>888.70730400000002</v>
      </c>
      <c r="J105" s="68"/>
      <c r="K105" s="118">
        <f>IF(D105=1,0.5%,IF(D105=0,0))</f>
        <v>5.0000000000000001E-3</v>
      </c>
      <c r="L105" s="289">
        <f t="shared" si="20"/>
        <v>5.0000000000000001E-3</v>
      </c>
    </row>
    <row r="106" spans="1:12" ht="18" customHeight="1">
      <c r="A106" s="121" t="s">
        <v>145</v>
      </c>
      <c r="B106" s="34" t="s">
        <v>75</v>
      </c>
      <c r="C106" s="115" t="s">
        <v>36</v>
      </c>
      <c r="D106" s="154">
        <v>1</v>
      </c>
      <c r="E106" s="127">
        <f t="shared" si="17"/>
        <v>1042.7309425331307</v>
      </c>
      <c r="F106" s="109"/>
      <c r="G106" s="102">
        <f t="shared" si="18"/>
        <v>290.33001346686933</v>
      </c>
      <c r="H106" s="119"/>
      <c r="I106" s="127">
        <f t="shared" si="19"/>
        <v>1333.060956</v>
      </c>
      <c r="J106" s="66"/>
      <c r="K106" s="118">
        <f>IF(D106=1,0.75%,IF(D106=0,0))</f>
        <v>7.4999999999999997E-3</v>
      </c>
      <c r="L106" s="289">
        <f t="shared" si="20"/>
        <v>7.4999999999999997E-3</v>
      </c>
    </row>
    <row r="107" spans="1:12" ht="18" customHeight="1">
      <c r="A107" s="121" t="s">
        <v>146</v>
      </c>
      <c r="B107" s="27" t="s">
        <v>76</v>
      </c>
      <c r="C107" s="115" t="s">
        <v>36</v>
      </c>
      <c r="D107" s="154">
        <v>1</v>
      </c>
      <c r="E107" s="127">
        <f t="shared" si="17"/>
        <v>1112.2463387020061</v>
      </c>
      <c r="F107" s="110"/>
      <c r="G107" s="102">
        <f t="shared" si="18"/>
        <v>309.68534769799385</v>
      </c>
      <c r="H107" s="120"/>
      <c r="I107" s="127">
        <f t="shared" si="19"/>
        <v>1421.9316864</v>
      </c>
      <c r="J107" s="68"/>
      <c r="K107" s="118">
        <f>IF(D107=1,0.8%,IF(D107=0,0))</f>
        <v>8.0000000000000002E-3</v>
      </c>
      <c r="L107" s="289">
        <f t="shared" si="20"/>
        <v>8.0000000000000002E-3</v>
      </c>
    </row>
    <row r="108" spans="1:12" ht="18" customHeight="1">
      <c r="A108" s="121" t="s">
        <v>147</v>
      </c>
      <c r="B108" s="73" t="s">
        <v>77</v>
      </c>
      <c r="C108" s="115" t="s">
        <v>36</v>
      </c>
      <c r="D108" s="154">
        <v>1</v>
      </c>
      <c r="E108" s="127">
        <f t="shared" si="17"/>
        <v>695.15396168875384</v>
      </c>
      <c r="F108" s="109"/>
      <c r="G108" s="102">
        <f t="shared" si="18"/>
        <v>193.55334231124618</v>
      </c>
      <c r="H108" s="119"/>
      <c r="I108" s="127">
        <f t="shared" si="19"/>
        <v>888.70730400000002</v>
      </c>
      <c r="J108" s="66"/>
      <c r="K108" s="118">
        <f>IF(D108=1,0.5%,IF(D108=0,0))</f>
        <v>5.0000000000000001E-3</v>
      </c>
      <c r="L108" s="289">
        <f t="shared" si="20"/>
        <v>5.0000000000000001E-3</v>
      </c>
    </row>
    <row r="109" spans="1:12" ht="18" customHeight="1">
      <c r="A109" s="121" t="s">
        <v>148</v>
      </c>
      <c r="B109" s="74" t="s">
        <v>78</v>
      </c>
      <c r="C109" s="115" t="s">
        <v>36</v>
      </c>
      <c r="D109" s="154">
        <v>1</v>
      </c>
      <c r="E109" s="127">
        <f t="shared" si="17"/>
        <v>417.0923770132523</v>
      </c>
      <c r="F109" s="110"/>
      <c r="G109" s="102">
        <f t="shared" si="18"/>
        <v>116.13200538674766</v>
      </c>
      <c r="H109" s="120"/>
      <c r="I109" s="127">
        <f t="shared" si="19"/>
        <v>533.22438239999997</v>
      </c>
      <c r="J109" s="68"/>
      <c r="K109" s="118">
        <f>IF(D109=1,0.3%,IF(D109=0,0))</f>
        <v>3.0000000000000001E-3</v>
      </c>
      <c r="L109" s="289">
        <f t="shared" si="20"/>
        <v>3.0000000000000001E-3</v>
      </c>
    </row>
    <row r="110" spans="1:12" ht="18" customHeight="1">
      <c r="A110" s="121" t="s">
        <v>149</v>
      </c>
      <c r="B110" s="73" t="s">
        <v>108</v>
      </c>
      <c r="C110" s="115" t="s">
        <v>36</v>
      </c>
      <c r="D110" s="154">
        <v>0</v>
      </c>
      <c r="E110" s="127">
        <f t="shared" si="17"/>
        <v>0</v>
      </c>
      <c r="F110" s="109"/>
      <c r="G110" s="102">
        <f t="shared" si="18"/>
        <v>0</v>
      </c>
      <c r="H110" s="119"/>
      <c r="I110" s="127">
        <f t="shared" si="19"/>
        <v>0</v>
      </c>
      <c r="J110" s="66"/>
      <c r="K110" s="118">
        <f>IF(D110=1,0.05%,IF(D110=0,0))</f>
        <v>0</v>
      </c>
      <c r="L110" s="289">
        <f t="shared" si="20"/>
        <v>0</v>
      </c>
    </row>
    <row r="111" spans="1:12" ht="18" customHeight="1">
      <c r="A111" s="121" t="s">
        <v>150</v>
      </c>
      <c r="B111" s="74" t="s">
        <v>79</v>
      </c>
      <c r="C111" s="115" t="s">
        <v>36</v>
      </c>
      <c r="D111" s="154">
        <v>1</v>
      </c>
      <c r="E111" s="127">
        <f t="shared" si="17"/>
        <v>69.515396168875384</v>
      </c>
      <c r="F111" s="110"/>
      <c r="G111" s="102">
        <f t="shared" si="18"/>
        <v>19.355334231124615</v>
      </c>
      <c r="H111" s="120"/>
      <c r="I111" s="127">
        <f t="shared" si="19"/>
        <v>88.870730399999999</v>
      </c>
      <c r="J111" s="68"/>
      <c r="K111" s="118">
        <f t="shared" ref="K111:K114" si="22">IF(D111=1,0.05%,IF(D111=0,0))</f>
        <v>5.0000000000000001E-4</v>
      </c>
      <c r="L111" s="289">
        <f t="shared" si="20"/>
        <v>5.0000000000000001E-4</v>
      </c>
    </row>
    <row r="112" spans="1:12" ht="18" customHeight="1">
      <c r="A112" s="121" t="s">
        <v>151</v>
      </c>
      <c r="B112" s="73" t="s">
        <v>80</v>
      </c>
      <c r="C112" s="115" t="s">
        <v>36</v>
      </c>
      <c r="D112" s="154">
        <v>1</v>
      </c>
      <c r="E112" s="127">
        <f t="shared" si="17"/>
        <v>69.515396168875384</v>
      </c>
      <c r="F112" s="109"/>
      <c r="G112" s="102">
        <f t="shared" si="18"/>
        <v>19.355334231124615</v>
      </c>
      <c r="H112" s="119"/>
      <c r="I112" s="127">
        <f t="shared" si="19"/>
        <v>88.870730399999999</v>
      </c>
      <c r="J112" s="66"/>
      <c r="K112" s="118">
        <f t="shared" si="22"/>
        <v>5.0000000000000001E-4</v>
      </c>
      <c r="L112" s="289">
        <f t="shared" si="20"/>
        <v>5.0000000000000001E-4</v>
      </c>
    </row>
    <row r="113" spans="1:12" ht="18" customHeight="1">
      <c r="A113" s="121" t="s">
        <v>152</v>
      </c>
      <c r="B113" s="74" t="s">
        <v>81</v>
      </c>
      <c r="C113" s="115" t="s">
        <v>36</v>
      </c>
      <c r="D113" s="154">
        <v>1</v>
      </c>
      <c r="E113" s="127">
        <f t="shared" si="17"/>
        <v>69.515396168875384</v>
      </c>
      <c r="F113" s="110"/>
      <c r="G113" s="102">
        <f t="shared" si="18"/>
        <v>19.355334231124615</v>
      </c>
      <c r="H113" s="120"/>
      <c r="I113" s="127">
        <f t="shared" si="19"/>
        <v>88.870730399999999</v>
      </c>
      <c r="J113" s="68"/>
      <c r="K113" s="118">
        <f t="shared" si="22"/>
        <v>5.0000000000000001E-4</v>
      </c>
      <c r="L113" s="289">
        <f t="shared" si="20"/>
        <v>5.0000000000000001E-4</v>
      </c>
    </row>
    <row r="114" spans="1:12" ht="18" customHeight="1">
      <c r="A114" s="121" t="s">
        <v>153</v>
      </c>
      <c r="B114" s="65" t="s">
        <v>54</v>
      </c>
      <c r="C114" s="115" t="s">
        <v>36</v>
      </c>
      <c r="D114" s="154">
        <v>1</v>
      </c>
      <c r="E114" s="127">
        <f t="shared" si="17"/>
        <v>69.515396168875384</v>
      </c>
      <c r="F114" s="109"/>
      <c r="G114" s="102">
        <f t="shared" si="18"/>
        <v>19.355334231124615</v>
      </c>
      <c r="H114" s="119"/>
      <c r="I114" s="127">
        <f t="shared" si="19"/>
        <v>88.870730399999999</v>
      </c>
      <c r="J114" s="66"/>
      <c r="K114" s="118">
        <f t="shared" si="22"/>
        <v>5.0000000000000001E-4</v>
      </c>
      <c r="L114" s="289">
        <f t="shared" si="20"/>
        <v>5.0000000000000001E-4</v>
      </c>
    </row>
    <row r="115" spans="1:12" ht="18" customHeight="1">
      <c r="A115" s="123" t="s">
        <v>153</v>
      </c>
      <c r="B115" s="74" t="s">
        <v>170</v>
      </c>
      <c r="C115" s="115" t="s">
        <v>36</v>
      </c>
      <c r="D115" s="154">
        <v>1</v>
      </c>
      <c r="E115" s="127">
        <f t="shared" si="17"/>
        <v>347.57698084437692</v>
      </c>
      <c r="F115" s="110"/>
      <c r="G115" s="102">
        <f t="shared" si="18"/>
        <v>96.776671155623092</v>
      </c>
      <c r="H115" s="120"/>
      <c r="I115" s="127">
        <f t="shared" si="19"/>
        <v>444.35365200000001</v>
      </c>
      <c r="J115" s="68"/>
      <c r="K115" s="118">
        <f>IF(D115=1,0.25%,IF(D115=0,0))</f>
        <v>2.5000000000000001E-3</v>
      </c>
      <c r="L115" s="289">
        <f t="shared" si="20"/>
        <v>2.5000000000000001E-3</v>
      </c>
    </row>
    <row r="116" spans="1:12" ht="18" customHeight="1">
      <c r="A116" s="123" t="s">
        <v>164</v>
      </c>
      <c r="B116" s="65" t="s">
        <v>169</v>
      </c>
      <c r="C116" s="115" t="s">
        <v>36</v>
      </c>
      <c r="D116" s="154">
        <v>1</v>
      </c>
      <c r="E116" s="127">
        <f t="shared" si="17"/>
        <v>695.15396168875384</v>
      </c>
      <c r="F116" s="109"/>
      <c r="G116" s="102">
        <f t="shared" si="18"/>
        <v>193.55334231124618</v>
      </c>
      <c r="H116" s="119"/>
      <c r="I116" s="127">
        <f t="shared" si="19"/>
        <v>888.70730400000002</v>
      </c>
      <c r="J116" s="66"/>
      <c r="K116" s="118">
        <f>IF(D116=1,0.5%,IF(D116=0,0))</f>
        <v>5.0000000000000001E-3</v>
      </c>
      <c r="L116" s="289">
        <f t="shared" si="20"/>
        <v>5.0000000000000001E-3</v>
      </c>
    </row>
    <row r="117" spans="1:12" ht="18" customHeight="1">
      <c r="A117" s="123" t="s">
        <v>165</v>
      </c>
      <c r="B117" s="67" t="s">
        <v>163</v>
      </c>
      <c r="C117" s="115" t="s">
        <v>36</v>
      </c>
      <c r="D117" s="154">
        <v>1</v>
      </c>
      <c r="E117" s="127">
        <f t="shared" si="17"/>
        <v>347.57698084437692</v>
      </c>
      <c r="F117" s="110"/>
      <c r="G117" s="102">
        <f t="shared" si="18"/>
        <v>96.776671155623092</v>
      </c>
      <c r="H117" s="120"/>
      <c r="I117" s="127">
        <f t="shared" si="19"/>
        <v>444.35365200000001</v>
      </c>
      <c r="J117" s="68"/>
      <c r="K117" s="118">
        <f>IF(D117=1,0.25%,IF(D117=0,0))</f>
        <v>2.5000000000000001E-3</v>
      </c>
      <c r="L117" s="289">
        <f t="shared" si="20"/>
        <v>2.5000000000000001E-3</v>
      </c>
    </row>
    <row r="118" spans="1:12" ht="18" customHeight="1">
      <c r="A118" s="123" t="s">
        <v>166</v>
      </c>
      <c r="B118" s="65" t="s">
        <v>82</v>
      </c>
      <c r="C118" s="115" t="s">
        <v>36</v>
      </c>
      <c r="D118" s="154">
        <v>1</v>
      </c>
      <c r="E118" s="127">
        <f t="shared" si="17"/>
        <v>347.57698084437692</v>
      </c>
      <c r="F118" s="109"/>
      <c r="G118" s="102">
        <f t="shared" si="18"/>
        <v>96.776671155623092</v>
      </c>
      <c r="H118" s="119"/>
      <c r="I118" s="127">
        <f t="shared" si="19"/>
        <v>444.35365200000001</v>
      </c>
      <c r="J118" s="66"/>
      <c r="K118" s="118">
        <f>IF(D118=1,0.25%,IF(D118=0,0))</f>
        <v>2.5000000000000001E-3</v>
      </c>
      <c r="L118" s="289">
        <f t="shared" si="20"/>
        <v>2.5000000000000001E-3</v>
      </c>
    </row>
    <row r="119" spans="1:12" ht="18" customHeight="1">
      <c r="A119" s="121" t="s">
        <v>167</v>
      </c>
      <c r="B119" s="67" t="s">
        <v>53</v>
      </c>
      <c r="C119" s="115" t="s">
        <v>36</v>
      </c>
      <c r="D119" s="154">
        <v>1</v>
      </c>
      <c r="E119" s="127">
        <f t="shared" si="17"/>
        <v>69.515396168875384</v>
      </c>
      <c r="F119" s="110"/>
      <c r="G119" s="102">
        <f t="shared" si="18"/>
        <v>19.355334231124615</v>
      </c>
      <c r="H119" s="120"/>
      <c r="I119" s="127">
        <f t="shared" si="19"/>
        <v>88.870730399999999</v>
      </c>
      <c r="J119" s="68"/>
      <c r="K119" s="118">
        <f>IF(D119=1,0.05%,IF(D119=0,0))</f>
        <v>5.0000000000000001E-4</v>
      </c>
      <c r="L119" s="289">
        <f t="shared" si="20"/>
        <v>5.0000000000000001E-4</v>
      </c>
    </row>
    <row r="120" spans="1:12" ht="18" customHeight="1">
      <c r="A120" s="121" t="s">
        <v>168</v>
      </c>
      <c r="B120" s="65" t="s">
        <v>55</v>
      </c>
      <c r="C120" s="115" t="s">
        <v>36</v>
      </c>
      <c r="D120" s="154">
        <v>1</v>
      </c>
      <c r="E120" s="127">
        <f t="shared" si="17"/>
        <v>69.515396168875384</v>
      </c>
      <c r="F120" s="109"/>
      <c r="G120" s="102">
        <f t="shared" si="18"/>
        <v>19.355334231124615</v>
      </c>
      <c r="H120" s="119"/>
      <c r="I120" s="127">
        <f t="shared" si="19"/>
        <v>88.870730399999999</v>
      </c>
      <c r="J120" s="66"/>
      <c r="K120" s="118">
        <f>IF(D120=1,0.05%,IF(D120=0,0))</f>
        <v>5.0000000000000001E-4</v>
      </c>
      <c r="L120" s="289">
        <f t="shared" si="20"/>
        <v>5.0000000000000001E-4</v>
      </c>
    </row>
    <row r="121" spans="1:12" ht="18" customHeight="1">
      <c r="A121" s="121" t="s">
        <v>186</v>
      </c>
      <c r="B121" s="67" t="s">
        <v>187</v>
      </c>
      <c r="C121" s="115" t="s">
        <v>36</v>
      </c>
      <c r="D121" s="154">
        <v>1</v>
      </c>
      <c r="E121" s="127">
        <f t="shared" si="17"/>
        <v>695.15396168875384</v>
      </c>
      <c r="F121" s="110"/>
      <c r="G121" s="102">
        <f t="shared" si="18"/>
        <v>193.55334231124618</v>
      </c>
      <c r="H121" s="120"/>
      <c r="I121" s="127">
        <f t="shared" si="19"/>
        <v>888.70730400000002</v>
      </c>
      <c r="J121" s="68"/>
      <c r="K121" s="118">
        <f>IF(D121=1,0.5%,IF(D121=0,0))</f>
        <v>5.0000000000000001E-3</v>
      </c>
      <c r="L121" s="289">
        <f t="shared" si="20"/>
        <v>5.0000000000000001E-3</v>
      </c>
    </row>
    <row r="122" spans="1:12" ht="18" customHeight="1">
      <c r="A122" s="9"/>
      <c r="B122" s="29"/>
      <c r="C122" s="10"/>
      <c r="D122" s="11"/>
      <c r="E122" s="12"/>
      <c r="F122" s="12"/>
      <c r="G122" s="12"/>
      <c r="H122" s="12"/>
      <c r="I122" s="12"/>
      <c r="J122" s="12"/>
      <c r="K122" s="13"/>
    </row>
    <row r="123" spans="1:12" ht="18" customHeight="1">
      <c r="A123" s="112" t="s">
        <v>25</v>
      </c>
      <c r="B123" s="112" t="s">
        <v>158</v>
      </c>
      <c r="C123" s="112"/>
      <c r="D123" s="113"/>
      <c r="E123" s="303">
        <f>SUM(E124:E129)</f>
        <v>13903.079233775077</v>
      </c>
      <c r="F123" s="304"/>
      <c r="G123" s="303">
        <f>I123-E123</f>
        <v>3871.066846224925</v>
      </c>
      <c r="H123" s="304"/>
      <c r="I123" s="320">
        <f>SUM(I124:I129)</f>
        <v>17774.146080000002</v>
      </c>
      <c r="J123" s="302"/>
      <c r="K123" s="72">
        <f>SUM(K124:K129)</f>
        <v>0.1</v>
      </c>
      <c r="L123" s="117">
        <f>SUM(L124:L129)</f>
        <v>0.1</v>
      </c>
    </row>
    <row r="124" spans="1:12" ht="18" customHeight="1">
      <c r="A124" s="114" t="s">
        <v>20</v>
      </c>
      <c r="B124" s="116" t="s">
        <v>57</v>
      </c>
      <c r="C124" s="115" t="s">
        <v>36</v>
      </c>
      <c r="D124" s="154">
        <v>1</v>
      </c>
      <c r="E124" s="127">
        <f t="shared" ref="E124:E129" si="23">(I124/(1+$G$19))</f>
        <v>347.57698084437692</v>
      </c>
      <c r="F124" s="109"/>
      <c r="G124" s="102">
        <f t="shared" ref="G124:G129" si="24">I124-E124</f>
        <v>96.776671155623092</v>
      </c>
      <c r="H124" s="105"/>
      <c r="I124" s="127">
        <f t="shared" ref="I124:I129" si="25">L124*$K$19</f>
        <v>444.35365200000001</v>
      </c>
      <c r="J124" s="109"/>
      <c r="K124" s="300">
        <f>IF(D124=1,0.25%,IF(D124=0,0))</f>
        <v>2.5000000000000001E-3</v>
      </c>
      <c r="L124" s="289">
        <f t="shared" ref="L124:L129" si="26">K124</f>
        <v>2.5000000000000001E-3</v>
      </c>
    </row>
    <row r="125" spans="1:12" ht="18" customHeight="1">
      <c r="A125" s="114" t="s">
        <v>2</v>
      </c>
      <c r="B125" s="116" t="s">
        <v>155</v>
      </c>
      <c r="C125" s="115" t="s">
        <v>36</v>
      </c>
      <c r="D125" s="154">
        <v>1</v>
      </c>
      <c r="E125" s="127">
        <f t="shared" si="23"/>
        <v>347.57698084437692</v>
      </c>
      <c r="F125" s="110"/>
      <c r="G125" s="102">
        <f t="shared" si="24"/>
        <v>96.776671155623092</v>
      </c>
      <c r="H125" s="106"/>
      <c r="I125" s="127">
        <f t="shared" si="25"/>
        <v>444.35365200000001</v>
      </c>
      <c r="J125" s="110"/>
      <c r="K125" s="300">
        <f>IF(D125=1,0.25%,IF(D125=0,0))</f>
        <v>2.5000000000000001E-3</v>
      </c>
      <c r="L125" s="289">
        <f t="shared" si="26"/>
        <v>2.5000000000000001E-3</v>
      </c>
    </row>
    <row r="126" spans="1:12" ht="18" customHeight="1">
      <c r="A126" s="114" t="s">
        <v>87</v>
      </c>
      <c r="B126" s="116" t="s">
        <v>58</v>
      </c>
      <c r="C126" s="115" t="s">
        <v>36</v>
      </c>
      <c r="D126" s="154">
        <v>1</v>
      </c>
      <c r="E126" s="127">
        <f t="shared" si="23"/>
        <v>6951.5396168875395</v>
      </c>
      <c r="F126" s="109"/>
      <c r="G126" s="102">
        <f t="shared" si="24"/>
        <v>1935.5334231124616</v>
      </c>
      <c r="H126" s="105"/>
      <c r="I126" s="127">
        <f t="shared" si="25"/>
        <v>8887.0730400000011</v>
      </c>
      <c r="J126" s="109"/>
      <c r="K126" s="300">
        <f>IF(D126=1,5%,IF(D126=0,0))</f>
        <v>0.05</v>
      </c>
      <c r="L126" s="289">
        <f t="shared" si="26"/>
        <v>0.05</v>
      </c>
    </row>
    <row r="127" spans="1:12" ht="18" customHeight="1">
      <c r="A127" s="114" t="s">
        <v>87</v>
      </c>
      <c r="B127" s="116" t="s">
        <v>156</v>
      </c>
      <c r="C127" s="115" t="s">
        <v>36</v>
      </c>
      <c r="D127" s="154">
        <v>1</v>
      </c>
      <c r="E127" s="127">
        <f t="shared" si="23"/>
        <v>2780.6158467550154</v>
      </c>
      <c r="F127" s="110"/>
      <c r="G127" s="102">
        <f t="shared" si="24"/>
        <v>774.21336924498473</v>
      </c>
      <c r="H127" s="106"/>
      <c r="I127" s="127">
        <f t="shared" si="25"/>
        <v>3554.8292160000001</v>
      </c>
      <c r="J127" s="110"/>
      <c r="K127" s="300">
        <f>IF(D127=1,2%,IF(D127=0,0))</f>
        <v>0.02</v>
      </c>
      <c r="L127" s="289">
        <f t="shared" si="26"/>
        <v>0.02</v>
      </c>
    </row>
    <row r="128" spans="1:12" ht="18" customHeight="1">
      <c r="A128" s="114" t="s">
        <v>35</v>
      </c>
      <c r="B128" s="116" t="s">
        <v>157</v>
      </c>
      <c r="C128" s="115" t="s">
        <v>36</v>
      </c>
      <c r="D128" s="154">
        <v>1</v>
      </c>
      <c r="E128" s="127">
        <f t="shared" si="23"/>
        <v>2780.6158467550154</v>
      </c>
      <c r="F128" s="109"/>
      <c r="G128" s="102">
        <f t="shared" si="24"/>
        <v>774.21336924498473</v>
      </c>
      <c r="H128" s="105"/>
      <c r="I128" s="127">
        <f t="shared" si="25"/>
        <v>3554.8292160000001</v>
      </c>
      <c r="J128" s="109"/>
      <c r="K128" s="300">
        <f>IF(D128=1,2%,IF(D128=0,0))</f>
        <v>0.02</v>
      </c>
      <c r="L128" s="289">
        <f t="shared" si="26"/>
        <v>0.02</v>
      </c>
    </row>
    <row r="129" spans="1:16" ht="18" customHeight="1">
      <c r="A129" s="114" t="s">
        <v>236</v>
      </c>
      <c r="B129" s="116" t="s">
        <v>83</v>
      </c>
      <c r="C129" s="115" t="s">
        <v>36</v>
      </c>
      <c r="D129" s="154">
        <v>1</v>
      </c>
      <c r="E129" s="127">
        <f t="shared" si="23"/>
        <v>695.15396168875384</v>
      </c>
      <c r="F129" s="110"/>
      <c r="G129" s="102">
        <f t="shared" si="24"/>
        <v>193.55334231124618</v>
      </c>
      <c r="H129" s="106"/>
      <c r="I129" s="127">
        <f t="shared" si="25"/>
        <v>888.70730400000002</v>
      </c>
      <c r="J129" s="110"/>
      <c r="K129" s="300">
        <f t="shared" ref="K129" si="27">IF(D129=1,0.5%,IF(D129=0,0))</f>
        <v>5.0000000000000001E-3</v>
      </c>
      <c r="L129" s="289">
        <f t="shared" si="26"/>
        <v>5.0000000000000001E-3</v>
      </c>
    </row>
    <row r="130" spans="1:16" ht="18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6" ht="18" customHeight="1">
      <c r="A131" s="323" t="s">
        <v>251</v>
      </c>
      <c r="B131" s="324"/>
      <c r="C131" s="324"/>
      <c r="D131" s="324"/>
      <c r="E131" s="324"/>
      <c r="F131" s="324"/>
      <c r="G131" s="324"/>
      <c r="H131" s="295"/>
      <c r="I131" s="296">
        <f>I123+I89+I57+I30+I21</f>
        <v>177474.84860880001</v>
      </c>
      <c r="J131" s="297"/>
      <c r="K131" s="298" t="s">
        <v>209</v>
      </c>
      <c r="L131" s="299">
        <f>1-(I131/L12)</f>
        <v>0</v>
      </c>
    </row>
    <row r="132" spans="1:16" ht="18" customHeight="1">
      <c r="A132" s="75"/>
      <c r="B132" s="75"/>
      <c r="C132" s="75"/>
      <c r="D132" s="75"/>
      <c r="E132" s="75"/>
      <c r="F132" s="75"/>
      <c r="G132" s="75"/>
      <c r="H132" s="75"/>
      <c r="I132" s="76"/>
      <c r="J132" s="76"/>
      <c r="K132" s="77"/>
      <c r="L132" s="78"/>
    </row>
    <row r="133" spans="1:16" ht="63.6" customHeight="1">
      <c r="A133" s="75"/>
      <c r="B133" s="75"/>
      <c r="C133" s="75"/>
      <c r="D133" s="75"/>
      <c r="E133" s="75"/>
      <c r="F133" s="75"/>
      <c r="G133" s="75"/>
      <c r="H133" s="75"/>
      <c r="I133" s="76"/>
      <c r="J133" s="76"/>
      <c r="K133" s="77"/>
      <c r="L133" s="78"/>
    </row>
    <row r="134" spans="1:16">
      <c r="B134" s="38"/>
      <c r="C134" s="38"/>
      <c r="D134" s="38"/>
      <c r="E134" s="38"/>
      <c r="F134" s="38"/>
      <c r="G134" s="38"/>
      <c r="H134" s="38"/>
      <c r="I134" s="38"/>
      <c r="J134" s="38"/>
      <c r="L134" s="33"/>
      <c r="M134" s="218"/>
      <c r="N134" s="64"/>
      <c r="O134" s="64"/>
    </row>
    <row r="135" spans="1:16">
      <c r="A135" s="34"/>
      <c r="B135" s="38"/>
      <c r="C135" s="38"/>
      <c r="D135" s="38"/>
      <c r="E135" s="38"/>
      <c r="F135" s="38"/>
      <c r="G135" s="38"/>
      <c r="H135" s="38"/>
      <c r="I135" s="38"/>
      <c r="J135" s="38"/>
      <c r="L135" s="33"/>
      <c r="M135" s="64"/>
      <c r="N135" s="64"/>
      <c r="O135" s="64"/>
    </row>
    <row r="136" spans="1:16">
      <c r="H136" s="38"/>
      <c r="I136" s="38"/>
      <c r="J136" s="38"/>
      <c r="L136" s="33"/>
      <c r="M136" s="64"/>
      <c r="N136" s="64"/>
      <c r="O136" s="219"/>
    </row>
    <row r="137" spans="1:16" ht="26.25" customHeight="1">
      <c r="B137" s="34"/>
      <c r="C137" s="34"/>
      <c r="D137" s="35"/>
      <c r="E137" s="35"/>
      <c r="F137" s="35"/>
      <c r="G137" s="35"/>
      <c r="H137" s="38"/>
      <c r="I137" s="38"/>
      <c r="J137" s="38"/>
      <c r="P137" s="290"/>
    </row>
    <row r="138" spans="1:16">
      <c r="P138" s="64"/>
    </row>
    <row r="139" spans="1:16">
      <c r="H139" s="352" t="s">
        <v>235</v>
      </c>
      <c r="I139" s="352"/>
      <c r="J139" s="352"/>
      <c r="K139" s="352"/>
      <c r="L139" s="352"/>
      <c r="P139" s="64"/>
    </row>
    <row r="140" spans="1:16">
      <c r="C140" s="36"/>
      <c r="H140" s="351" t="s">
        <v>220</v>
      </c>
      <c r="I140" s="351"/>
      <c r="J140" s="351"/>
      <c r="K140" s="294">
        <f>L140/$I$131</f>
        <v>0.35202804206309474</v>
      </c>
      <c r="L140" s="231">
        <f>I22+I25+I31+I32+I33+I58+I59+I60+I87+I90+I91+I92+I121</f>
        <v>62476.123471200015</v>
      </c>
      <c r="P140" s="64"/>
    </row>
    <row r="141" spans="1:16">
      <c r="H141" s="351" t="s">
        <v>175</v>
      </c>
      <c r="I141" s="351"/>
      <c r="J141" s="351"/>
      <c r="K141" s="294">
        <f t="shared" ref="K141:K151" si="28">L141/$I$131</f>
        <v>0.20030045067601404</v>
      </c>
      <c r="L141" s="231">
        <f>I35+I36+I37+I62+I63+I64+I94+I95+I96</f>
        <v>35548.292160000005</v>
      </c>
      <c r="P141" s="64"/>
    </row>
    <row r="142" spans="1:16">
      <c r="H142" s="351" t="s">
        <v>176</v>
      </c>
      <c r="I142" s="351"/>
      <c r="J142" s="351"/>
      <c r="K142" s="294">
        <f t="shared" si="28"/>
        <v>8.3625438157235846E-2</v>
      </c>
      <c r="L142" s="231">
        <f>I41+I42+I43+I52+I68+I69+I70+I79+I100+I101+I102+I111</f>
        <v>14841.4119768</v>
      </c>
      <c r="P142" s="64"/>
    </row>
    <row r="143" spans="1:16" ht="11.25" customHeight="1">
      <c r="H143" s="350" t="s">
        <v>177</v>
      </c>
      <c r="I143" s="350"/>
      <c r="J143" s="350"/>
      <c r="K143" s="294">
        <f t="shared" si="28"/>
        <v>3.8557836755132691E-2</v>
      </c>
      <c r="L143" s="231">
        <f>I71+I72+I103+I104+I44+I45</f>
        <v>6843.0462407999985</v>
      </c>
      <c r="P143" s="64"/>
    </row>
    <row r="144" spans="1:16">
      <c r="H144" s="350" t="s">
        <v>178</v>
      </c>
      <c r="I144" s="350"/>
      <c r="J144" s="350"/>
      <c r="K144" s="294">
        <f t="shared" si="28"/>
        <v>5.3580370555833742E-2</v>
      </c>
      <c r="L144" s="231">
        <f>I38+I39+I40+I65+I66+I67+I97+I98+I99</f>
        <v>9509.168152799999</v>
      </c>
      <c r="P144" s="291"/>
    </row>
    <row r="145" spans="1:16">
      <c r="H145" s="350" t="s">
        <v>179</v>
      </c>
      <c r="I145" s="350"/>
      <c r="J145" s="350"/>
      <c r="K145" s="294">
        <f t="shared" si="28"/>
        <v>5.1076614922383579E-2</v>
      </c>
      <c r="L145" s="231">
        <f>I47+I48+I74+I75+I106+I107</f>
        <v>9064.814500800001</v>
      </c>
      <c r="P145" s="64"/>
    </row>
    <row r="146" spans="1:16">
      <c r="A146" s="16"/>
      <c r="B146" s="16"/>
      <c r="C146" s="16"/>
      <c r="D146" s="16"/>
      <c r="E146" s="16"/>
      <c r="F146" s="16"/>
      <c r="G146" s="16"/>
      <c r="H146" s="350" t="s">
        <v>180</v>
      </c>
      <c r="I146" s="350"/>
      <c r="J146" s="350"/>
      <c r="K146" s="294">
        <f t="shared" si="28"/>
        <v>2.7541311967951922E-2</v>
      </c>
      <c r="L146" s="231">
        <f>I76+I108+I49</f>
        <v>4887.8901719999994</v>
      </c>
      <c r="P146" s="64"/>
    </row>
    <row r="147" spans="1:16">
      <c r="H147" s="351" t="s">
        <v>182</v>
      </c>
      <c r="I147" s="351"/>
      <c r="J147" s="351"/>
      <c r="K147" s="294">
        <f t="shared" si="28"/>
        <v>5.8087130696044161E-2</v>
      </c>
      <c r="L147" s="231">
        <f>I131-N147</f>
        <v>10309.004726400017</v>
      </c>
      <c r="M147" s="37" t="s">
        <v>249</v>
      </c>
      <c r="N147" s="217">
        <f>SUM(L140+L141+L142+L143+L144+L145+L146+L148+L149)</f>
        <v>167165.84388239999</v>
      </c>
      <c r="P147" s="64"/>
    </row>
    <row r="148" spans="1:16" ht="24" customHeight="1">
      <c r="H148" s="353" t="s">
        <v>158</v>
      </c>
      <c r="I148" s="354"/>
      <c r="J148" s="355"/>
      <c r="K148" s="294">
        <f t="shared" si="28"/>
        <v>0.10015022533800702</v>
      </c>
      <c r="L148" s="231">
        <f>I123</f>
        <v>17774.146080000002</v>
      </c>
    </row>
    <row r="149" spans="1:16" ht="18.75" customHeight="1">
      <c r="H149" s="350" t="s">
        <v>181</v>
      </c>
      <c r="I149" s="350"/>
      <c r="J149" s="350"/>
      <c r="K149" s="294">
        <f t="shared" si="28"/>
        <v>3.5052578868302445E-2</v>
      </c>
      <c r="L149" s="231">
        <f>I55+I82+I83+I84+I85+I86+I114+I115+I116+I117+I118+I119+I120</f>
        <v>6220.9511279999988</v>
      </c>
    </row>
    <row r="150" spans="1:16">
      <c r="H150" s="35"/>
      <c r="I150" s="35"/>
      <c r="J150" s="35"/>
    </row>
    <row r="151" spans="1:16">
      <c r="A151" s="16"/>
      <c r="B151" s="16"/>
      <c r="C151" s="16"/>
      <c r="D151" s="16"/>
      <c r="E151" s="16"/>
      <c r="F151" s="16"/>
      <c r="G151" s="16"/>
      <c r="H151" s="341" t="s">
        <v>250</v>
      </c>
      <c r="I151" s="341"/>
      <c r="J151" s="341"/>
      <c r="K151" s="294">
        <f t="shared" si="28"/>
        <v>1</v>
      </c>
      <c r="L151" s="217">
        <f>SUM(L140:L149)</f>
        <v>177474.84860880001</v>
      </c>
      <c r="M151" s="64"/>
      <c r="N151" s="292"/>
      <c r="O151" s="293"/>
      <c r="P151" s="64"/>
    </row>
    <row r="153" spans="1:16">
      <c r="H153" s="16"/>
      <c r="I153" s="16"/>
      <c r="J153" s="16"/>
      <c r="K153" s="16"/>
    </row>
  </sheetData>
  <sheetProtection password="E9AA" sheet="1" objects="1" scenarios="1" selectLockedCells="1"/>
  <customSheetViews>
    <customSheetView guid="{77FD295D-1BCD-41C6-B306-76E0FF93C8E4}" showPageBreaks="1" printArea="1" topLeftCell="A17">
      <selection activeCell="M24" sqref="M24"/>
      <pageMargins left="0.19685039370078741" right="0.19685039370078741" top="0.55118110236220474" bottom="0.35433070866141736" header="0" footer="0"/>
      <printOptions horizontalCentered="1"/>
      <pageSetup paperSize="8" scale="85" fitToHeight="0" orientation="landscape" verticalDpi="598" r:id="rId1"/>
      <headerFooter alignWithMargins="0">
        <oddFooter>&amp;R&amp;"Verdana,Negrito itálico"&amp;10Página &amp;P de &amp;N</oddFooter>
      </headerFooter>
    </customSheetView>
  </customSheetViews>
  <mergeCells count="29">
    <mergeCell ref="H151:J151"/>
    <mergeCell ref="G18:H18"/>
    <mergeCell ref="G19:H19"/>
    <mergeCell ref="E18:F19"/>
    <mergeCell ref="I18:J19"/>
    <mergeCell ref="H149:J149"/>
    <mergeCell ref="H140:J140"/>
    <mergeCell ref="H141:J141"/>
    <mergeCell ref="H142:J142"/>
    <mergeCell ref="H143:J143"/>
    <mergeCell ref="H144:J144"/>
    <mergeCell ref="H139:L139"/>
    <mergeCell ref="H145:J145"/>
    <mergeCell ref="H146:J146"/>
    <mergeCell ref="H147:J147"/>
    <mergeCell ref="H148:J148"/>
    <mergeCell ref="N5:N11"/>
    <mergeCell ref="A131:G131"/>
    <mergeCell ref="A16:K16"/>
    <mergeCell ref="C18:C19"/>
    <mergeCell ref="A18:A19"/>
    <mergeCell ref="D18:D19"/>
    <mergeCell ref="B18:B19"/>
    <mergeCell ref="M5:M11"/>
    <mergeCell ref="E11:K11"/>
    <mergeCell ref="L18:L19"/>
    <mergeCell ref="A17:L17"/>
    <mergeCell ref="E12:I12"/>
    <mergeCell ref="I14:J14"/>
  </mergeCells>
  <phoneticPr fontId="0" type="noConversion"/>
  <printOptions horizontalCentered="1" verticalCentered="1"/>
  <pageMargins left="0.19685039370078741" right="0.19685039370078741" top="0.55118110236220474" bottom="0.35433070866141736" header="0" footer="0"/>
  <pageSetup paperSize="8" fitToHeight="0" orientation="landscape" verticalDpi="598" r:id="rId2"/>
  <headerFooter alignWithMargins="0">
    <oddHeader xml:space="preserve">&amp;L  </oddHeader>
    <oddFooter>&amp;R&amp;"Verdana,Negrito itálico"Página &amp;P de &amp;N</oddFooter>
  </headerFooter>
  <rowBreaks count="4" manualBreakCount="4">
    <brk id="29" max="11" man="1"/>
    <brk id="55" max="11" man="1"/>
    <brk id="87" max="11" man="1"/>
    <brk id="121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L36"/>
  <sheetViews>
    <sheetView view="pageBreakPreview" zoomScaleSheetLayoutView="100" zoomScalePageLayoutView="110" workbookViewId="0">
      <selection activeCell="I24" sqref="I24"/>
    </sheetView>
  </sheetViews>
  <sheetFormatPr defaultRowHeight="12.75"/>
  <cols>
    <col min="1" max="1" width="10.5703125" style="203" customWidth="1"/>
    <col min="2" max="2" width="10.42578125" style="203" customWidth="1"/>
    <col min="3" max="3" width="11.5703125" style="203" customWidth="1"/>
    <col min="4" max="4" width="10.85546875" customWidth="1"/>
    <col min="7" max="7" width="10.28515625" bestFit="1" customWidth="1"/>
    <col min="8" max="8" width="12" customWidth="1"/>
    <col min="9" max="9" width="10.140625" customWidth="1"/>
    <col min="10" max="10" width="12" customWidth="1"/>
  </cols>
  <sheetData>
    <row r="1" spans="1:10" s="3" customFormat="1" ht="54.75" customHeight="1">
      <c r="A1" s="54"/>
      <c r="B1" s="358" t="s">
        <v>233</v>
      </c>
      <c r="C1" s="358"/>
      <c r="D1" s="358"/>
      <c r="E1" s="1"/>
      <c r="F1" s="1"/>
    </row>
    <row r="2" spans="1:10" s="3" customFormat="1" ht="16.5" customHeight="1">
      <c r="A2" s="54"/>
      <c r="B2" s="207"/>
      <c r="C2" s="207"/>
      <c r="D2" s="207"/>
      <c r="E2" s="1"/>
      <c r="F2" s="1"/>
    </row>
    <row r="3" spans="1:10" s="3" customFormat="1" ht="15">
      <c r="A3" s="54"/>
      <c r="B3" s="39"/>
      <c r="C3" s="57"/>
      <c r="D3" s="54"/>
      <c r="E3" s="1"/>
      <c r="F3" s="1"/>
    </row>
    <row r="4" spans="1:10" s="3" customFormat="1" ht="15.75">
      <c r="A4" s="359" t="str">
        <f>'Planilha Orçamentária'!A3</f>
        <v>ÓRGÃO CONTRATANTE: SEÇÃO JUDICIÁRIA DO ESTADO DO AMAPÁ</v>
      </c>
      <c r="B4" s="359"/>
      <c r="C4" s="359"/>
      <c r="D4" s="359"/>
      <c r="E4" s="359"/>
      <c r="F4" s="359"/>
      <c r="G4" s="359"/>
      <c r="H4" s="359"/>
      <c r="I4" s="359"/>
    </row>
    <row r="5" spans="1:10" s="3" customFormat="1" ht="24" customHeight="1">
      <c r="A5" s="357" t="str">
        <f>'Planilha Orçamentária'!A5</f>
        <v>ELABORAÇÃO DE PROJETOS PARA A CONSTRUÇÃO DO EDIFÍCIO SEDE DA SUBSEÇÃO JUDICIÁRIA DE OIAPOQUE</v>
      </c>
      <c r="B5" s="357"/>
      <c r="C5" s="357"/>
      <c r="D5" s="357"/>
      <c r="E5" s="357"/>
      <c r="F5" s="357"/>
      <c r="G5" s="357"/>
      <c r="H5" s="357"/>
      <c r="I5" s="357"/>
      <c r="J5" s="357"/>
    </row>
    <row r="6" spans="1:10" s="3" customFormat="1" ht="24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</row>
    <row r="7" spans="1:10" s="3" customFormat="1">
      <c r="A7" s="221" t="str">
        <f>'Planilha Orçamentária'!A8</f>
        <v>NOME DA EMPRESA:</v>
      </c>
      <c r="B7" s="222"/>
      <c r="C7" s="223"/>
      <c r="D7" s="224"/>
      <c r="E7" s="225"/>
      <c r="F7" s="226"/>
      <c r="G7" s="227"/>
      <c r="H7" s="227"/>
      <c r="I7" s="227"/>
      <c r="J7" s="227"/>
    </row>
    <row r="8" spans="1:10" s="3" customFormat="1">
      <c r="A8" s="228" t="s">
        <v>188</v>
      </c>
      <c r="B8" s="221" t="str">
        <f>'Planilha Orçamentária'!B9</f>
        <v>XX.YYY.ZZZ/AAAA-BB</v>
      </c>
      <c r="C8" s="223"/>
      <c r="D8" s="224"/>
      <c r="E8" s="225"/>
      <c r="F8" s="226"/>
      <c r="G8" s="227"/>
      <c r="H8" s="227"/>
      <c r="I8" s="227"/>
      <c r="J8" s="227"/>
    </row>
    <row r="9" spans="1:10" s="3" customFormat="1">
      <c r="A9" s="221" t="s">
        <v>190</v>
      </c>
      <c r="B9" s="221"/>
      <c r="C9" s="227"/>
      <c r="D9" s="229">
        <f>'Planilha Orçamentária'!I14</f>
        <v>120</v>
      </c>
      <c r="E9" s="225"/>
      <c r="F9" s="226"/>
      <c r="G9" s="227"/>
      <c r="H9" s="227"/>
      <c r="I9" s="227"/>
      <c r="J9" s="227"/>
    </row>
    <row r="10" spans="1:10" s="46" customFormat="1">
      <c r="A10" s="48"/>
      <c r="B10" s="51"/>
      <c r="C10" s="58"/>
      <c r="D10" s="48"/>
      <c r="E10" s="55"/>
      <c r="F10" s="55"/>
      <c r="G10" s="55"/>
      <c r="H10" s="55"/>
      <c r="I10" s="55"/>
    </row>
    <row r="11" spans="1:10" s="203" customFormat="1"/>
    <row r="13" spans="1:10" s="203" customFormat="1">
      <c r="C13" s="369" t="s">
        <v>225</v>
      </c>
      <c r="D13" s="370"/>
      <c r="E13" s="371"/>
      <c r="F13" s="369" t="s">
        <v>226</v>
      </c>
      <c r="G13" s="370"/>
      <c r="H13" s="371"/>
    </row>
    <row r="14" spans="1:10">
      <c r="D14" s="203"/>
      <c r="E14" s="203"/>
      <c r="F14" s="203"/>
      <c r="G14" s="203"/>
      <c r="H14" s="203"/>
    </row>
    <row r="15" spans="1:10" s="203" customFormat="1">
      <c r="C15" s="360" t="s">
        <v>227</v>
      </c>
      <c r="D15" s="361"/>
      <c r="E15" s="362"/>
      <c r="F15" s="366">
        <v>0.06</v>
      </c>
      <c r="G15" s="367"/>
      <c r="H15" s="368"/>
    </row>
    <row r="16" spans="1:10" s="203" customFormat="1">
      <c r="C16" s="360" t="s">
        <v>228</v>
      </c>
      <c r="D16" s="361"/>
      <c r="E16" s="362"/>
      <c r="F16" s="363">
        <v>0.02</v>
      </c>
      <c r="G16" s="364"/>
      <c r="H16" s="365"/>
      <c r="J16" s="205"/>
    </row>
    <row r="17" spans="1:12" s="203" customFormat="1">
      <c r="C17" s="360" t="s">
        <v>229</v>
      </c>
      <c r="D17" s="361"/>
      <c r="E17" s="362"/>
      <c r="F17" s="363">
        <v>1.23E-2</v>
      </c>
      <c r="G17" s="364"/>
      <c r="H17" s="365"/>
      <c r="J17" s="204"/>
    </row>
    <row r="18" spans="1:12" s="203" customFormat="1">
      <c r="C18" s="360" t="s">
        <v>230</v>
      </c>
      <c r="D18" s="361"/>
      <c r="E18" s="362"/>
      <c r="F18" s="363">
        <v>0.05</v>
      </c>
      <c r="G18" s="364"/>
      <c r="H18" s="365"/>
    </row>
    <row r="19" spans="1:12" s="203" customFormat="1">
      <c r="C19" s="360" t="s">
        <v>231</v>
      </c>
      <c r="D19" s="361"/>
      <c r="E19" s="362"/>
      <c r="F19" s="363">
        <v>1.6500000000000001E-2</v>
      </c>
      <c r="G19" s="364"/>
      <c r="H19" s="365"/>
    </row>
    <row r="20" spans="1:12" s="203" customFormat="1">
      <c r="C20" s="360" t="s">
        <v>232</v>
      </c>
      <c r="D20" s="361"/>
      <c r="E20" s="362"/>
      <c r="F20" s="363">
        <v>0.06</v>
      </c>
      <c r="G20" s="364"/>
      <c r="H20" s="365"/>
    </row>
    <row r="21" spans="1:12" s="203" customFormat="1">
      <c r="C21" s="360" t="s">
        <v>258</v>
      </c>
      <c r="D21" s="361"/>
      <c r="E21" s="362"/>
      <c r="F21" s="363">
        <v>8.0000000000000002E-3</v>
      </c>
      <c r="G21" s="364"/>
      <c r="H21" s="365"/>
    </row>
    <row r="22" spans="1:12">
      <c r="C22" s="360" t="s">
        <v>259</v>
      </c>
      <c r="D22" s="361"/>
      <c r="E22" s="362"/>
      <c r="F22" s="363">
        <v>1.2699999999999999E-2</v>
      </c>
      <c r="G22" s="364"/>
      <c r="H22" s="365"/>
    </row>
    <row r="23" spans="1:12">
      <c r="D23" s="203"/>
      <c r="E23" s="203"/>
      <c r="F23" s="203"/>
      <c r="G23" s="203"/>
      <c r="H23" s="203"/>
    </row>
    <row r="24" spans="1:12">
      <c r="C24" s="375" t="s">
        <v>113</v>
      </c>
      <c r="D24" s="420"/>
      <c r="E24" s="421"/>
      <c r="F24" s="208"/>
      <c r="G24" s="318">
        <f>(((1+F16+F21+F22)*(1+F17)*(1+F15))/(1-F18-F19-F20))-1</f>
        <v>0.27843233726388106</v>
      </c>
      <c r="H24" s="209"/>
    </row>
    <row r="25" spans="1:12">
      <c r="D25" s="203"/>
      <c r="E25" s="203"/>
      <c r="F25" s="203"/>
      <c r="G25" s="203"/>
      <c r="H25" s="203"/>
    </row>
    <row r="26" spans="1:12">
      <c r="C26" s="410"/>
      <c r="D26" s="411"/>
      <c r="E26" s="411"/>
      <c r="F26" s="411"/>
      <c r="G26" s="411"/>
      <c r="H26" s="412"/>
      <c r="I26" s="202"/>
      <c r="J26" s="202"/>
      <c r="K26" s="202"/>
      <c r="L26" s="202"/>
    </row>
    <row r="27" spans="1:12">
      <c r="C27" s="413"/>
      <c r="D27" s="414"/>
      <c r="E27" s="414"/>
      <c r="F27" s="414"/>
      <c r="G27" s="414"/>
      <c r="H27" s="415"/>
    </row>
    <row r="28" spans="1:12" s="203" customFormat="1">
      <c r="C28" s="416"/>
      <c r="D28" s="414"/>
      <c r="E28" s="414"/>
      <c r="F28" s="414"/>
      <c r="G28" s="414"/>
      <c r="H28" s="415"/>
    </row>
    <row r="29" spans="1:12" s="203" customFormat="1">
      <c r="C29" s="417"/>
      <c r="D29" s="418"/>
      <c r="E29" s="418"/>
      <c r="F29" s="418"/>
      <c r="G29" s="418"/>
      <c r="H29" s="419"/>
    </row>
    <row r="30" spans="1:12">
      <c r="A30" s="374"/>
      <c r="B30" s="374"/>
      <c r="C30" s="374"/>
      <c r="D30" s="374"/>
      <c r="E30" s="374"/>
      <c r="F30" s="374"/>
      <c r="G30" s="374"/>
      <c r="H30" s="374"/>
      <c r="I30" s="374"/>
      <c r="J30" s="374"/>
    </row>
    <row r="31" spans="1:12">
      <c r="A31" s="373" t="str">
        <f>'Planilha Orçamentária'!G8</f>
        <v>NOME DO RESP. TÉCN.</v>
      </c>
      <c r="B31" s="373"/>
      <c r="C31" s="373"/>
      <c r="D31" s="373"/>
      <c r="E31" s="373"/>
      <c r="F31" s="373"/>
      <c r="G31" s="373"/>
      <c r="H31" s="373"/>
      <c r="I31" s="373"/>
      <c r="J31" s="373"/>
    </row>
    <row r="32" spans="1:12">
      <c r="A32" s="372" t="str">
        <f>'Planilha Orçamentária'!L8</f>
        <v>N. CAU/CREA</v>
      </c>
      <c r="B32" s="372"/>
      <c r="C32" s="372"/>
      <c r="D32" s="372"/>
      <c r="E32" s="372"/>
      <c r="F32" s="372"/>
      <c r="G32" s="372"/>
      <c r="H32" s="372"/>
      <c r="I32" s="372"/>
      <c r="J32" s="372"/>
    </row>
    <row r="34" spans="1:10" s="282" customFormat="1" ht="12">
      <c r="A34" s="282" t="s">
        <v>239</v>
      </c>
    </row>
    <row r="35" spans="1:10" s="281" customFormat="1" ht="22.5" customHeight="1">
      <c r="A35" s="356" t="s">
        <v>241</v>
      </c>
      <c r="B35" s="356"/>
      <c r="C35" s="356"/>
      <c r="D35" s="356"/>
      <c r="E35" s="356"/>
      <c r="F35" s="356"/>
      <c r="G35" s="356"/>
      <c r="H35" s="356"/>
      <c r="I35" s="356"/>
      <c r="J35" s="356"/>
    </row>
    <row r="36" spans="1:10" s="281" customFormat="1" ht="11.25">
      <c r="A36" s="281" t="s">
        <v>240</v>
      </c>
    </row>
  </sheetData>
  <mergeCells count="26">
    <mergeCell ref="C16:E16"/>
    <mergeCell ref="A32:J32"/>
    <mergeCell ref="A31:J31"/>
    <mergeCell ref="A30:J30"/>
    <mergeCell ref="C17:E17"/>
    <mergeCell ref="C24:E24"/>
    <mergeCell ref="C22:E22"/>
    <mergeCell ref="F22:H22"/>
    <mergeCell ref="C21:E21"/>
    <mergeCell ref="F21:H21"/>
    <mergeCell ref="A35:J35"/>
    <mergeCell ref="A5:J5"/>
    <mergeCell ref="B1:D1"/>
    <mergeCell ref="A4:I4"/>
    <mergeCell ref="C20:E20"/>
    <mergeCell ref="C19:E19"/>
    <mergeCell ref="C18:E18"/>
    <mergeCell ref="F20:H20"/>
    <mergeCell ref="F19:H19"/>
    <mergeCell ref="F18:H18"/>
    <mergeCell ref="F17:H17"/>
    <mergeCell ref="F16:H16"/>
    <mergeCell ref="F15:H15"/>
    <mergeCell ref="C13:E13"/>
    <mergeCell ref="F13:H13"/>
    <mergeCell ref="C15:E1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5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J108"/>
  <sheetViews>
    <sheetView showGridLines="0" view="pageBreakPreview" zoomScale="115" zoomScaleNormal="75" zoomScaleSheetLayoutView="115" workbookViewId="0">
      <selection activeCell="D16" sqref="D16"/>
    </sheetView>
  </sheetViews>
  <sheetFormatPr defaultColWidth="9.140625" defaultRowHeight="11.25"/>
  <cols>
    <col min="1" max="1" width="5.7109375" style="21" customWidth="1"/>
    <col min="2" max="2" width="38.140625" style="28" customWidth="1"/>
    <col min="3" max="3" width="15.5703125" style="280" customWidth="1"/>
    <col min="4" max="4" width="11.28515625" style="4" customWidth="1"/>
    <col min="5" max="9" width="14.7109375" style="28" customWidth="1"/>
    <col min="10" max="10" width="5.140625" style="28" customWidth="1"/>
    <col min="11" max="16384" width="9.140625" style="28"/>
  </cols>
  <sheetData>
    <row r="1" spans="1:9" s="3" customFormat="1" ht="54.75" customHeight="1">
      <c r="A1" s="54"/>
      <c r="B1" s="232" t="s">
        <v>214</v>
      </c>
      <c r="C1" s="57"/>
      <c r="D1" s="54"/>
      <c r="E1" s="1"/>
      <c r="F1" s="1"/>
    </row>
    <row r="2" spans="1:9" s="3" customFormat="1" ht="15">
      <c r="A2" s="54"/>
      <c r="B2" s="232"/>
      <c r="C2" s="57"/>
      <c r="D2" s="54"/>
      <c r="E2" s="1"/>
      <c r="F2" s="1"/>
    </row>
    <row r="3" spans="1:9" s="3" customFormat="1" ht="15.75">
      <c r="A3" s="359" t="str">
        <f>'Planilha Orçamentária'!A3</f>
        <v>ÓRGÃO CONTRATANTE: SEÇÃO JUDICIÁRIA DO ESTADO DO AMAPÁ</v>
      </c>
      <c r="B3" s="359"/>
      <c r="C3" s="359"/>
      <c r="D3" s="359"/>
      <c r="E3" s="359"/>
      <c r="F3" s="359"/>
      <c r="G3" s="359"/>
      <c r="H3" s="359"/>
      <c r="I3" s="359"/>
    </row>
    <row r="4" spans="1:9" s="3" customFormat="1" ht="15">
      <c r="A4" s="54"/>
      <c r="B4" s="232"/>
      <c r="C4" s="57"/>
      <c r="D4" s="54"/>
      <c r="E4" s="1"/>
      <c r="F4" s="1"/>
    </row>
    <row r="5" spans="1:9" s="3" customFormat="1" ht="15">
      <c r="A5" s="54"/>
      <c r="B5" s="232"/>
      <c r="C5" s="57"/>
      <c r="D5" s="54"/>
      <c r="E5" s="1"/>
      <c r="F5" s="1"/>
    </row>
    <row r="6" spans="1:9" s="3" customFormat="1" ht="15">
      <c r="A6" s="54"/>
      <c r="B6" s="232"/>
      <c r="C6" s="57"/>
      <c r="D6" s="54"/>
      <c r="E6" s="1"/>
      <c r="F6" s="1"/>
    </row>
    <row r="7" spans="1:9" s="3" customFormat="1" ht="12.75">
      <c r="A7" s="198" t="str">
        <f>'Planilha Orçamentária'!A8</f>
        <v>NOME DA EMPRESA:</v>
      </c>
      <c r="B7" s="199"/>
      <c r="C7" s="200"/>
      <c r="D7" s="40"/>
      <c r="E7" s="4"/>
      <c r="F7" s="56"/>
    </row>
    <row r="8" spans="1:9" s="3" customFormat="1" ht="12.75">
      <c r="A8" s="234" t="s">
        <v>188</v>
      </c>
      <c r="B8" s="198" t="str">
        <f>'Planilha Orçamentária'!B9</f>
        <v>XX.YYY.ZZZ/AAAA-BB</v>
      </c>
      <c r="C8" s="200"/>
      <c r="D8" s="40"/>
      <c r="E8" s="4"/>
      <c r="F8" s="56"/>
    </row>
    <row r="9" spans="1:9" s="3" customFormat="1" ht="12.75">
      <c r="A9" s="198" t="s">
        <v>190</v>
      </c>
      <c r="B9" s="198"/>
      <c r="C9" s="201">
        <f>'Planilha Orçamentária'!I14</f>
        <v>120</v>
      </c>
      <c r="E9" s="4"/>
      <c r="F9" s="56"/>
    </row>
    <row r="10" spans="1:9" s="239" customFormat="1" ht="12.75">
      <c r="A10" s="235"/>
      <c r="B10" s="236"/>
      <c r="C10" s="237"/>
      <c r="D10" s="235"/>
      <c r="E10" s="238"/>
      <c r="F10" s="238"/>
      <c r="G10" s="238"/>
      <c r="H10" s="238"/>
      <c r="I10" s="238"/>
    </row>
    <row r="11" spans="1:9" s="239" customFormat="1" ht="24" customHeight="1">
      <c r="A11" s="379" t="str">
        <f>'Planilha Orçamentária'!A5:L5</f>
        <v>ELABORAÇÃO DE PROJETOS PARA A CONSTRUÇÃO DO EDIFÍCIO SEDE DA SUBSEÇÃO JUDICIÁRIA DE OIAPOQUE</v>
      </c>
      <c r="B11" s="379"/>
      <c r="C11" s="379"/>
      <c r="D11" s="379"/>
      <c r="E11" s="379"/>
      <c r="F11" s="379"/>
      <c r="G11" s="379"/>
      <c r="H11" s="379"/>
      <c r="I11" s="379"/>
    </row>
    <row r="12" spans="1:9" s="239" customFormat="1" ht="12.75">
      <c r="A12" s="240"/>
      <c r="B12" s="240"/>
      <c r="C12" s="241"/>
      <c r="D12" s="240"/>
      <c r="E12" s="240"/>
      <c r="F12" s="240"/>
      <c r="G12" s="240"/>
      <c r="H12" s="240"/>
      <c r="I12" s="240"/>
    </row>
    <row r="13" spans="1:9" s="242" customFormat="1" ht="15.75">
      <c r="A13" s="378" t="s">
        <v>40</v>
      </c>
      <c r="B13" s="378"/>
      <c r="C13" s="378"/>
      <c r="D13" s="378"/>
      <c r="E13" s="378"/>
      <c r="F13" s="378"/>
      <c r="G13" s="378"/>
      <c r="H13" s="378"/>
      <c r="I13" s="378"/>
    </row>
    <row r="14" spans="1:9" s="242" customFormat="1" ht="18" customHeight="1">
      <c r="A14" s="219"/>
      <c r="B14" s="34"/>
      <c r="C14" s="243"/>
      <c r="D14" s="35"/>
      <c r="E14" s="34"/>
      <c r="F14" s="244"/>
      <c r="G14" s="244"/>
      <c r="H14" s="244"/>
      <c r="I14" s="244"/>
    </row>
    <row r="15" spans="1:9" s="249" customFormat="1" ht="33" customHeight="1">
      <c r="A15" s="245" t="s">
        <v>26</v>
      </c>
      <c r="B15" s="246" t="s">
        <v>5</v>
      </c>
      <c r="C15" s="247" t="s">
        <v>189</v>
      </c>
      <c r="D15" s="248" t="s">
        <v>191</v>
      </c>
      <c r="E15" s="312" t="s">
        <v>192</v>
      </c>
      <c r="F15" s="312" t="s">
        <v>193</v>
      </c>
      <c r="G15" s="312" t="s">
        <v>194</v>
      </c>
      <c r="H15" s="312" t="s">
        <v>195</v>
      </c>
      <c r="I15" s="312" t="s">
        <v>196</v>
      </c>
    </row>
    <row r="16" spans="1:9" s="249" customFormat="1">
      <c r="A16" s="250" t="s">
        <v>27</v>
      </c>
      <c r="B16" s="251" t="str">
        <f>+'Planilha Orçamentária'!B21</f>
        <v>ESTUDOS PRELIMINARES</v>
      </c>
      <c r="C16" s="252">
        <f>+'Planilha Orçamentária'!I21</f>
        <v>8887.0730399999993</v>
      </c>
      <c r="D16" s="310">
        <v>0.05</v>
      </c>
      <c r="E16" s="253">
        <f>D16*C9</f>
        <v>6</v>
      </c>
      <c r="F16" s="253"/>
      <c r="G16" s="253"/>
      <c r="H16" s="253"/>
      <c r="I16" s="253"/>
    </row>
    <row r="17" spans="1:10" s="249" customFormat="1" ht="12" customHeight="1">
      <c r="A17" s="254" t="s">
        <v>28</v>
      </c>
      <c r="B17" s="255" t="str">
        <f>+'Planilha Orçamentária'!B30</f>
        <v>ANTEPROJETO</v>
      </c>
      <c r="C17" s="256">
        <f>+'Planilha Orçamentária'!I30</f>
        <v>26572.348389600025</v>
      </c>
      <c r="D17" s="311">
        <v>0.15</v>
      </c>
      <c r="E17" s="313"/>
      <c r="F17" s="258">
        <f>D17*C9</f>
        <v>18</v>
      </c>
      <c r="G17" s="258"/>
      <c r="H17" s="259"/>
      <c r="I17" s="259"/>
      <c r="J17" s="260"/>
    </row>
    <row r="18" spans="1:10" s="249" customFormat="1" ht="12" customHeight="1">
      <c r="A18" s="250" t="s">
        <v>29</v>
      </c>
      <c r="B18" s="251" t="str">
        <f>+'Planilha Orçamentária'!B57</f>
        <v>PROJETO BÁSICO</v>
      </c>
      <c r="C18" s="252">
        <f>+'Planilha Orçamentária'!I57</f>
        <v>79894.786629599999</v>
      </c>
      <c r="D18" s="310">
        <v>0.45</v>
      </c>
      <c r="E18" s="261"/>
      <c r="F18" s="314"/>
      <c r="G18" s="261">
        <f>D18*C9</f>
        <v>54</v>
      </c>
      <c r="H18" s="261"/>
      <c r="I18" s="261"/>
      <c r="J18" s="260"/>
    </row>
    <row r="19" spans="1:10" s="249" customFormat="1" ht="12" customHeight="1">
      <c r="A19" s="254" t="s">
        <v>30</v>
      </c>
      <c r="B19" s="255" t="str">
        <f>+'Planilha Orçamentária'!B89</f>
        <v>PROJETO EXECUTIVO</v>
      </c>
      <c r="C19" s="256">
        <f>+'Planilha Orçamentária'!I89</f>
        <v>44346.494469600009</v>
      </c>
      <c r="D19" s="311">
        <v>0.25</v>
      </c>
      <c r="E19" s="259"/>
      <c r="F19" s="258"/>
      <c r="G19" s="313"/>
      <c r="H19" s="258">
        <f>D19*C9</f>
        <v>30</v>
      </c>
      <c r="I19" s="258"/>
      <c r="J19" s="260"/>
    </row>
    <row r="20" spans="1:10" s="249" customFormat="1" ht="12" customHeight="1">
      <c r="A20" s="250" t="s">
        <v>31</v>
      </c>
      <c r="B20" s="262" t="str">
        <f>+'Planilha Orçamentária'!B123</f>
        <v>APROVAÇÃO DE PROJETOS E ENTREGA DE DOCUMENTAÇÃO</v>
      </c>
      <c r="C20" s="252">
        <f>+'Planilha Orçamentária'!I123</f>
        <v>17774.146080000002</v>
      </c>
      <c r="D20" s="310">
        <v>0.1</v>
      </c>
      <c r="E20" s="263"/>
      <c r="F20" s="263"/>
      <c r="G20" s="263"/>
      <c r="H20" s="314"/>
      <c r="I20" s="261">
        <f>D20*C9</f>
        <v>12</v>
      </c>
      <c r="J20" s="260"/>
    </row>
    <row r="21" spans="1:10" s="249" customFormat="1">
      <c r="A21" s="254"/>
      <c r="B21" s="255"/>
      <c r="C21" s="256"/>
      <c r="D21" s="264"/>
      <c r="E21" s="259"/>
      <c r="F21" s="259"/>
      <c r="G21" s="259"/>
      <c r="H21" s="258"/>
      <c r="I21" s="313"/>
      <c r="J21" s="260"/>
    </row>
    <row r="22" spans="1:10" s="249" customFormat="1" ht="12" customHeight="1">
      <c r="A22" s="381"/>
      <c r="B22" s="381"/>
      <c r="C22" s="265">
        <f>SUM(C16:C20)</f>
        <v>177474.84860880004</v>
      </c>
      <c r="D22" s="257">
        <f>SUM(D16:D20)</f>
        <v>1</v>
      </c>
      <c r="E22" s="266"/>
      <c r="F22" s="266"/>
      <c r="G22" s="266"/>
      <c r="H22" s="266"/>
      <c r="I22" s="266"/>
      <c r="J22" s="260"/>
    </row>
    <row r="23" spans="1:10" s="249" customFormat="1" ht="12" customHeight="1">
      <c r="A23" s="382" t="s">
        <v>197</v>
      </c>
      <c r="B23" s="382"/>
      <c r="C23" s="382"/>
      <c r="D23" s="382"/>
      <c r="E23" s="267">
        <f>C16</f>
        <v>8887.0730399999993</v>
      </c>
      <c r="F23" s="267">
        <f>C17</f>
        <v>26572.348389600025</v>
      </c>
      <c r="G23" s="267">
        <f>C18</f>
        <v>79894.786629599999</v>
      </c>
      <c r="H23" s="267">
        <f>C19</f>
        <v>44346.494469600009</v>
      </c>
      <c r="I23" s="267">
        <f>C20</f>
        <v>17774.146080000002</v>
      </c>
    </row>
    <row r="24" spans="1:10" s="249" customFormat="1" ht="12" customHeight="1">
      <c r="A24" s="383" t="s">
        <v>32</v>
      </c>
      <c r="B24" s="383"/>
      <c r="C24" s="383"/>
      <c r="D24" s="383"/>
      <c r="E24" s="268">
        <f>D16</f>
        <v>0.05</v>
      </c>
      <c r="F24" s="268">
        <f>D17</f>
        <v>0.15</v>
      </c>
      <c r="G24" s="268">
        <f>D18</f>
        <v>0.45</v>
      </c>
      <c r="H24" s="268">
        <f>D19</f>
        <v>0.25</v>
      </c>
      <c r="I24" s="268">
        <f>D20</f>
        <v>0.1</v>
      </c>
    </row>
    <row r="25" spans="1:10" s="249" customFormat="1" ht="12" customHeight="1">
      <c r="A25" s="384" t="s">
        <v>198</v>
      </c>
      <c r="B25" s="384"/>
      <c r="C25" s="384"/>
      <c r="D25" s="384"/>
      <c r="E25" s="269">
        <f>+E23</f>
        <v>8887.0730399999993</v>
      </c>
      <c r="F25" s="269">
        <f t="shared" ref="F25:H26" si="0">+E25+F23</f>
        <v>35459.421429600028</v>
      </c>
      <c r="G25" s="269">
        <f t="shared" si="0"/>
        <v>115354.20805920003</v>
      </c>
      <c r="H25" s="269">
        <f t="shared" si="0"/>
        <v>159700.70252880003</v>
      </c>
      <c r="I25" s="270">
        <f t="shared" ref="I25:I26" si="1">+H25+I23</f>
        <v>177474.84860880004</v>
      </c>
    </row>
    <row r="26" spans="1:10" s="272" customFormat="1" ht="12" customHeight="1">
      <c r="A26" s="380" t="s">
        <v>33</v>
      </c>
      <c r="B26" s="380"/>
      <c r="C26" s="380"/>
      <c r="D26" s="380"/>
      <c r="E26" s="271">
        <f>+E24</f>
        <v>0.05</v>
      </c>
      <c r="F26" s="271">
        <f t="shared" si="0"/>
        <v>0.2</v>
      </c>
      <c r="G26" s="271">
        <f t="shared" si="0"/>
        <v>0.65</v>
      </c>
      <c r="H26" s="271">
        <f t="shared" si="0"/>
        <v>0.9</v>
      </c>
      <c r="I26" s="271">
        <f t="shared" si="1"/>
        <v>1</v>
      </c>
    </row>
    <row r="27" spans="1:10" s="249" customFormat="1" ht="12" customHeight="1">
      <c r="A27" s="273"/>
      <c r="C27" s="274"/>
      <c r="D27" s="189"/>
    </row>
    <row r="28" spans="1:10" s="249" customFormat="1">
      <c r="A28" s="273"/>
      <c r="C28" s="274"/>
      <c r="D28" s="189"/>
    </row>
    <row r="29" spans="1:10" s="249" customFormat="1">
      <c r="A29" s="273"/>
      <c r="C29" s="274"/>
      <c r="D29" s="189"/>
    </row>
    <row r="30" spans="1:10" s="249" customFormat="1">
      <c r="A30" s="273"/>
      <c r="C30" s="274"/>
      <c r="D30" s="189"/>
    </row>
    <row r="31" spans="1:10" s="249" customFormat="1">
      <c r="A31" s="273"/>
      <c r="C31" s="274"/>
      <c r="D31" s="189"/>
    </row>
    <row r="32" spans="1:10" s="249" customFormat="1">
      <c r="A32" s="273"/>
      <c r="C32" s="274"/>
      <c r="D32" s="189"/>
    </row>
    <row r="33" spans="1:10" s="249" customFormat="1" ht="13.15" customHeight="1">
      <c r="A33" s="376" t="str">
        <f>'Planilha Orçamentária'!G8</f>
        <v>NOME DO RESP. TÉCN.</v>
      </c>
      <c r="B33" s="376"/>
      <c r="C33" s="376"/>
      <c r="D33" s="376"/>
      <c r="E33" s="376"/>
      <c r="F33" s="376"/>
      <c r="G33" s="376"/>
      <c r="H33" s="376"/>
      <c r="I33" s="376"/>
      <c r="J33" s="275"/>
    </row>
    <row r="34" spans="1:10" s="249" customFormat="1">
      <c r="A34" s="377" t="str">
        <f>'Planilha Orçamentária'!L8</f>
        <v>N. CAU/CREA</v>
      </c>
      <c r="B34" s="377"/>
      <c r="C34" s="377"/>
      <c r="D34" s="377"/>
      <c r="E34" s="377"/>
      <c r="F34" s="377"/>
      <c r="G34" s="377"/>
      <c r="H34" s="377"/>
      <c r="I34" s="377"/>
    </row>
    <row r="35" spans="1:10" s="249" customFormat="1">
      <c r="A35" s="273"/>
      <c r="C35" s="274"/>
      <c r="D35" s="189"/>
    </row>
    <row r="36" spans="1:10" ht="12.75">
      <c r="A36" s="276"/>
      <c r="B36" s="277"/>
      <c r="C36" s="278"/>
      <c r="D36" s="279"/>
      <c r="E36" s="277"/>
      <c r="F36" s="277"/>
      <c r="G36" s="277"/>
      <c r="H36" s="277"/>
      <c r="I36" s="277"/>
    </row>
    <row r="37" spans="1:10" ht="12.75">
      <c r="A37" s="276"/>
      <c r="B37" s="277"/>
      <c r="C37" s="278"/>
      <c r="D37" s="279"/>
      <c r="E37" s="277"/>
      <c r="F37" s="277"/>
      <c r="G37" s="277"/>
      <c r="H37" s="277"/>
      <c r="I37" s="277"/>
    </row>
    <row r="38" spans="1:10" ht="12.75">
      <c r="A38" s="276"/>
      <c r="B38" s="277"/>
      <c r="C38" s="278"/>
      <c r="D38" s="279"/>
      <c r="E38" s="277"/>
      <c r="F38" s="277"/>
      <c r="G38" s="277"/>
      <c r="H38" s="277"/>
      <c r="I38" s="277"/>
    </row>
    <row r="39" spans="1:10" ht="12.75">
      <c r="A39" s="276"/>
      <c r="B39" s="277"/>
      <c r="C39" s="278"/>
      <c r="D39" s="279"/>
      <c r="E39" s="277"/>
      <c r="F39" s="277"/>
      <c r="G39" s="277"/>
      <c r="H39" s="277"/>
      <c r="I39" s="277"/>
    </row>
    <row r="40" spans="1:10" ht="12.75">
      <c r="A40" s="276"/>
      <c r="B40" s="277"/>
      <c r="C40" s="278"/>
      <c r="D40" s="279"/>
      <c r="E40" s="277"/>
      <c r="F40" s="277"/>
      <c r="G40" s="277"/>
      <c r="H40" s="277"/>
      <c r="I40" s="277"/>
    </row>
    <row r="41" spans="1:10" ht="12.75">
      <c r="A41" s="276"/>
      <c r="B41" s="277"/>
      <c r="C41" s="278"/>
      <c r="D41" s="279"/>
      <c r="E41" s="277"/>
      <c r="F41" s="277"/>
      <c r="G41" s="277"/>
      <c r="H41" s="277"/>
      <c r="I41" s="277"/>
    </row>
    <row r="42" spans="1:10" ht="12.75">
      <c r="A42" s="276"/>
      <c r="B42" s="277"/>
      <c r="C42" s="278"/>
      <c r="D42" s="279"/>
      <c r="E42" s="277"/>
      <c r="F42" s="277"/>
      <c r="G42" s="277"/>
      <c r="H42" s="277"/>
      <c r="I42" s="277"/>
    </row>
    <row r="43" spans="1:10" ht="12.75">
      <c r="A43" s="276"/>
      <c r="B43" s="277"/>
      <c r="C43" s="278"/>
      <c r="D43" s="279"/>
      <c r="E43" s="277"/>
      <c r="F43" s="277"/>
      <c r="G43" s="277"/>
      <c r="H43" s="277"/>
      <c r="I43" s="277"/>
    </row>
    <row r="44" spans="1:10" ht="12.75">
      <c r="A44" s="276"/>
      <c r="B44" s="277"/>
      <c r="C44" s="278"/>
      <c r="D44" s="279"/>
      <c r="E44" s="277"/>
      <c r="F44" s="277"/>
      <c r="G44" s="277"/>
      <c r="H44" s="277"/>
      <c r="I44" s="277"/>
    </row>
    <row r="45" spans="1:10" ht="12.75">
      <c r="A45" s="276"/>
      <c r="B45" s="277"/>
      <c r="C45" s="278"/>
      <c r="D45" s="279"/>
      <c r="E45" s="277"/>
      <c r="F45" s="277"/>
      <c r="G45" s="277"/>
      <c r="H45" s="277"/>
      <c r="I45" s="277"/>
    </row>
    <row r="46" spans="1:10" ht="12.75">
      <c r="A46" s="276"/>
      <c r="B46" s="277"/>
      <c r="C46" s="278"/>
      <c r="D46" s="279"/>
      <c r="E46" s="277"/>
      <c r="F46" s="277"/>
      <c r="G46" s="277"/>
      <c r="H46" s="277"/>
      <c r="I46" s="277"/>
    </row>
    <row r="47" spans="1:10" ht="12.75">
      <c r="A47" s="276"/>
      <c r="B47" s="277"/>
      <c r="C47" s="278"/>
      <c r="D47" s="279"/>
      <c r="E47" s="277"/>
      <c r="F47" s="277"/>
      <c r="G47" s="277"/>
      <c r="H47" s="277"/>
      <c r="I47" s="277"/>
    </row>
    <row r="48" spans="1:10" ht="12.75">
      <c r="A48" s="276"/>
      <c r="B48" s="277"/>
      <c r="C48" s="278"/>
      <c r="D48" s="279"/>
      <c r="E48" s="277"/>
      <c r="F48" s="277"/>
      <c r="G48" s="277"/>
      <c r="H48" s="277"/>
      <c r="I48" s="277"/>
    </row>
    <row r="49" spans="1:9" ht="12.75">
      <c r="A49" s="276"/>
      <c r="B49" s="277"/>
      <c r="C49" s="278"/>
      <c r="D49" s="279"/>
      <c r="E49" s="277"/>
      <c r="F49" s="277"/>
      <c r="G49" s="277"/>
      <c r="H49" s="277"/>
      <c r="I49" s="277"/>
    </row>
    <row r="50" spans="1:9" ht="12.75">
      <c r="A50" s="276"/>
      <c r="B50" s="277"/>
      <c r="C50" s="278"/>
      <c r="D50" s="279"/>
      <c r="E50" s="277"/>
      <c r="F50" s="277"/>
      <c r="G50" s="277"/>
      <c r="H50" s="277"/>
      <c r="I50" s="277"/>
    </row>
    <row r="51" spans="1:9" ht="12.75">
      <c r="A51" s="276"/>
      <c r="B51" s="277"/>
      <c r="C51" s="278"/>
      <c r="D51" s="279"/>
      <c r="E51" s="277"/>
      <c r="F51" s="277"/>
      <c r="G51" s="277"/>
      <c r="H51" s="277"/>
      <c r="I51" s="277"/>
    </row>
    <row r="52" spans="1:9" ht="12.75">
      <c r="A52" s="276"/>
      <c r="B52" s="277"/>
      <c r="C52" s="278"/>
      <c r="D52" s="279"/>
      <c r="E52" s="277"/>
      <c r="F52" s="277"/>
      <c r="G52" s="277"/>
      <c r="H52" s="277"/>
      <c r="I52" s="277"/>
    </row>
    <row r="53" spans="1:9" ht="12.75">
      <c r="A53" s="276"/>
      <c r="B53" s="277"/>
      <c r="C53" s="278"/>
      <c r="D53" s="279"/>
      <c r="E53" s="277"/>
      <c r="F53" s="277"/>
      <c r="G53" s="277"/>
      <c r="H53" s="277"/>
      <c r="I53" s="277"/>
    </row>
    <row r="54" spans="1:9" ht="12.75">
      <c r="A54" s="276"/>
      <c r="B54" s="277"/>
      <c r="C54" s="278"/>
      <c r="D54" s="279"/>
      <c r="E54" s="277"/>
      <c r="F54" s="277"/>
      <c r="G54" s="277"/>
      <c r="H54" s="277"/>
      <c r="I54" s="277"/>
    </row>
    <row r="55" spans="1:9" ht="12.75">
      <c r="A55" s="276"/>
      <c r="B55" s="277"/>
      <c r="C55" s="278"/>
      <c r="D55" s="279"/>
      <c r="E55" s="277"/>
      <c r="F55" s="277"/>
      <c r="G55" s="277"/>
      <c r="H55" s="277"/>
      <c r="I55" s="277"/>
    </row>
    <row r="56" spans="1:9" ht="12.75">
      <c r="A56" s="276"/>
      <c r="B56" s="277"/>
      <c r="C56" s="278"/>
      <c r="D56" s="279"/>
      <c r="E56" s="277"/>
      <c r="F56" s="277"/>
      <c r="G56" s="277"/>
      <c r="H56" s="277"/>
      <c r="I56" s="277"/>
    </row>
    <row r="57" spans="1:9" ht="12.75">
      <c r="A57" s="276"/>
      <c r="B57" s="277"/>
      <c r="C57" s="278"/>
      <c r="D57" s="279"/>
      <c r="E57" s="277"/>
      <c r="F57" s="277"/>
      <c r="G57" s="277"/>
      <c r="H57" s="277"/>
      <c r="I57" s="277"/>
    </row>
    <row r="58" spans="1:9" ht="12.75">
      <c r="A58" s="276"/>
      <c r="B58" s="277"/>
      <c r="C58" s="278"/>
      <c r="D58" s="279"/>
      <c r="E58" s="277"/>
      <c r="F58" s="277"/>
      <c r="G58" s="277"/>
      <c r="H58" s="277"/>
      <c r="I58" s="277"/>
    </row>
    <row r="59" spans="1:9" ht="12.75">
      <c r="A59" s="276"/>
      <c r="B59" s="277"/>
      <c r="C59" s="278"/>
      <c r="D59" s="279"/>
      <c r="E59" s="277"/>
      <c r="F59" s="277"/>
      <c r="G59" s="277"/>
      <c r="H59" s="277"/>
      <c r="I59" s="277"/>
    </row>
    <row r="60" spans="1:9" ht="12.75">
      <c r="A60" s="276"/>
      <c r="B60" s="277"/>
      <c r="C60" s="278"/>
      <c r="D60" s="279"/>
      <c r="E60" s="277"/>
      <c r="F60" s="277"/>
      <c r="G60" s="277"/>
      <c r="H60" s="277"/>
      <c r="I60" s="277"/>
    </row>
    <row r="61" spans="1:9" ht="12.75">
      <c r="A61" s="276"/>
      <c r="B61" s="277"/>
      <c r="C61" s="278"/>
      <c r="D61" s="279"/>
      <c r="E61" s="277"/>
      <c r="F61" s="277"/>
      <c r="G61" s="277"/>
      <c r="H61" s="277"/>
      <c r="I61" s="277"/>
    </row>
    <row r="62" spans="1:9" ht="12.75">
      <c r="A62" s="276"/>
      <c r="B62" s="277"/>
      <c r="C62" s="278"/>
      <c r="D62" s="279"/>
      <c r="E62" s="277"/>
      <c r="F62" s="277"/>
      <c r="G62" s="277"/>
      <c r="H62" s="277"/>
      <c r="I62" s="277"/>
    </row>
    <row r="63" spans="1:9" ht="12.75">
      <c r="A63" s="276"/>
      <c r="B63" s="277"/>
      <c r="C63" s="278"/>
      <c r="D63" s="279"/>
      <c r="E63" s="277"/>
      <c r="F63" s="277"/>
      <c r="G63" s="277"/>
      <c r="H63" s="277"/>
      <c r="I63" s="277"/>
    </row>
    <row r="64" spans="1:9" ht="12.75">
      <c r="A64" s="276"/>
      <c r="B64" s="277"/>
      <c r="C64" s="278"/>
      <c r="D64" s="279"/>
      <c r="E64" s="277"/>
      <c r="F64" s="277"/>
      <c r="G64" s="277"/>
      <c r="H64" s="277"/>
      <c r="I64" s="277"/>
    </row>
    <row r="65" spans="1:9" ht="12.75">
      <c r="A65" s="276"/>
      <c r="B65" s="277"/>
      <c r="C65" s="278"/>
      <c r="D65" s="279"/>
      <c r="E65" s="277"/>
      <c r="F65" s="277"/>
      <c r="G65" s="277"/>
      <c r="H65" s="277"/>
      <c r="I65" s="277"/>
    </row>
    <row r="66" spans="1:9" ht="12.75">
      <c r="A66" s="276"/>
      <c r="B66" s="277"/>
      <c r="C66" s="278"/>
      <c r="D66" s="279"/>
      <c r="E66" s="277"/>
      <c r="F66" s="277"/>
      <c r="G66" s="277"/>
      <c r="H66" s="277"/>
      <c r="I66" s="277"/>
    </row>
    <row r="67" spans="1:9" ht="12.75">
      <c r="A67" s="276"/>
      <c r="B67" s="277"/>
      <c r="C67" s="278"/>
      <c r="D67" s="279"/>
      <c r="E67" s="277"/>
      <c r="F67" s="277"/>
      <c r="G67" s="277"/>
      <c r="H67" s="277"/>
      <c r="I67" s="277"/>
    </row>
    <row r="68" spans="1:9" ht="12.75">
      <c r="A68" s="276"/>
      <c r="B68" s="277"/>
      <c r="C68" s="278"/>
      <c r="D68" s="279"/>
      <c r="E68" s="277"/>
      <c r="F68" s="277"/>
      <c r="G68" s="277"/>
      <c r="H68" s="277"/>
      <c r="I68" s="277"/>
    </row>
    <row r="69" spans="1:9" ht="12.75">
      <c r="A69" s="276"/>
      <c r="B69" s="277"/>
      <c r="C69" s="278"/>
      <c r="D69" s="279"/>
      <c r="E69" s="277"/>
      <c r="F69" s="277"/>
      <c r="G69" s="277"/>
      <c r="H69" s="277"/>
      <c r="I69" s="277"/>
    </row>
    <row r="70" spans="1:9" ht="12.75">
      <c r="A70" s="276"/>
      <c r="B70" s="277"/>
      <c r="C70" s="278"/>
      <c r="D70" s="279"/>
      <c r="E70" s="277"/>
      <c r="F70" s="277"/>
      <c r="G70" s="277"/>
      <c r="H70" s="277"/>
      <c r="I70" s="277"/>
    </row>
    <row r="71" spans="1:9" ht="12.75">
      <c r="A71" s="276"/>
      <c r="B71" s="277"/>
      <c r="C71" s="278"/>
      <c r="D71" s="279"/>
      <c r="E71" s="277"/>
      <c r="F71" s="277"/>
      <c r="G71" s="277"/>
      <c r="H71" s="277"/>
      <c r="I71" s="277"/>
    </row>
    <row r="72" spans="1:9" ht="12.75">
      <c r="A72" s="276"/>
      <c r="B72" s="277"/>
      <c r="C72" s="278"/>
      <c r="D72" s="279"/>
      <c r="E72" s="277"/>
      <c r="F72" s="277"/>
      <c r="G72" s="277"/>
      <c r="H72" s="277"/>
      <c r="I72" s="277"/>
    </row>
    <row r="73" spans="1:9" ht="12.75">
      <c r="A73" s="276"/>
      <c r="B73" s="277"/>
      <c r="C73" s="278"/>
      <c r="D73" s="279"/>
      <c r="E73" s="277"/>
      <c r="F73" s="277"/>
      <c r="G73" s="277"/>
      <c r="H73" s="277"/>
      <c r="I73" s="277"/>
    </row>
    <row r="74" spans="1:9" ht="12.75">
      <c r="A74" s="276"/>
      <c r="B74" s="277"/>
      <c r="C74" s="278"/>
      <c r="D74" s="279"/>
      <c r="E74" s="277"/>
      <c r="F74" s="277"/>
      <c r="G74" s="277"/>
      <c r="H74" s="277"/>
      <c r="I74" s="277"/>
    </row>
    <row r="75" spans="1:9" ht="12.75">
      <c r="A75" s="276"/>
      <c r="B75" s="277"/>
      <c r="C75" s="278"/>
      <c r="D75" s="279"/>
      <c r="E75" s="277"/>
      <c r="F75" s="277"/>
      <c r="G75" s="277"/>
      <c r="H75" s="277"/>
      <c r="I75" s="277"/>
    </row>
    <row r="76" spans="1:9" ht="12.75">
      <c r="A76" s="276"/>
      <c r="B76" s="277"/>
      <c r="C76" s="278"/>
      <c r="D76" s="279"/>
      <c r="E76" s="277"/>
      <c r="F76" s="277"/>
      <c r="G76" s="277"/>
      <c r="H76" s="277"/>
      <c r="I76" s="277"/>
    </row>
    <row r="77" spans="1:9" ht="12.75">
      <c r="A77" s="276"/>
      <c r="B77" s="277"/>
      <c r="C77" s="278"/>
      <c r="D77" s="279"/>
      <c r="E77" s="277"/>
      <c r="F77" s="277"/>
      <c r="G77" s="277"/>
      <c r="H77" s="277"/>
      <c r="I77" s="277"/>
    </row>
    <row r="78" spans="1:9" ht="12.75">
      <c r="A78" s="276"/>
      <c r="B78" s="277"/>
      <c r="C78" s="278"/>
      <c r="D78" s="279"/>
      <c r="E78" s="277"/>
      <c r="F78" s="277"/>
      <c r="G78" s="277"/>
      <c r="H78" s="277"/>
      <c r="I78" s="277"/>
    </row>
    <row r="79" spans="1:9" ht="12.75">
      <c r="A79" s="276"/>
      <c r="B79" s="277"/>
      <c r="C79" s="278"/>
      <c r="D79" s="279"/>
      <c r="E79" s="277"/>
      <c r="F79" s="277"/>
      <c r="G79" s="277"/>
      <c r="H79" s="277"/>
      <c r="I79" s="277"/>
    </row>
    <row r="80" spans="1:9" ht="12.75">
      <c r="A80" s="276"/>
      <c r="B80" s="277"/>
      <c r="C80" s="278"/>
      <c r="D80" s="279"/>
      <c r="E80" s="277"/>
      <c r="F80" s="277"/>
      <c r="G80" s="277"/>
      <c r="H80" s="277"/>
      <c r="I80" s="277"/>
    </row>
    <row r="81" spans="1:9" ht="12.75">
      <c r="A81" s="276"/>
      <c r="B81" s="277"/>
      <c r="C81" s="278"/>
      <c r="D81" s="279"/>
      <c r="E81" s="277"/>
      <c r="F81" s="277"/>
      <c r="G81" s="277"/>
      <c r="H81" s="277"/>
      <c r="I81" s="277"/>
    </row>
    <row r="82" spans="1:9" ht="12.75">
      <c r="A82" s="276"/>
      <c r="B82" s="277"/>
      <c r="C82" s="278"/>
      <c r="D82" s="279"/>
      <c r="E82" s="277"/>
      <c r="F82" s="277"/>
      <c r="G82" s="277"/>
      <c r="H82" s="277"/>
      <c r="I82" s="277"/>
    </row>
    <row r="83" spans="1:9" ht="12.75">
      <c r="A83" s="276"/>
      <c r="B83" s="277"/>
      <c r="C83" s="278"/>
      <c r="D83" s="279"/>
      <c r="E83" s="277"/>
      <c r="F83" s="277"/>
      <c r="G83" s="277"/>
      <c r="H83" s="277"/>
      <c r="I83" s="277"/>
    </row>
    <row r="84" spans="1:9" ht="12.75">
      <c r="A84" s="276"/>
      <c r="B84" s="277"/>
      <c r="C84" s="278"/>
      <c r="D84" s="279"/>
      <c r="E84" s="277"/>
      <c r="F84" s="277"/>
      <c r="G84" s="277"/>
      <c r="H84" s="277"/>
      <c r="I84" s="277"/>
    </row>
    <row r="85" spans="1:9" ht="12.75">
      <c r="A85" s="276"/>
      <c r="B85" s="277"/>
      <c r="C85" s="278"/>
      <c r="D85" s="279"/>
      <c r="E85" s="277"/>
      <c r="F85" s="277"/>
      <c r="G85" s="277"/>
      <c r="H85" s="277"/>
      <c r="I85" s="277"/>
    </row>
    <row r="86" spans="1:9" ht="12.75">
      <c r="A86" s="276"/>
      <c r="B86" s="277"/>
      <c r="C86" s="278"/>
      <c r="D86" s="279"/>
      <c r="E86" s="277"/>
      <c r="F86" s="277"/>
      <c r="G86" s="277"/>
      <c r="H86" s="277"/>
      <c r="I86" s="277"/>
    </row>
    <row r="87" spans="1:9" ht="12.75">
      <c r="A87" s="276"/>
      <c r="B87" s="277"/>
      <c r="C87" s="278"/>
      <c r="D87" s="279"/>
      <c r="E87" s="277"/>
      <c r="F87" s="277"/>
      <c r="G87" s="277"/>
      <c r="H87" s="277"/>
      <c r="I87" s="277"/>
    </row>
    <row r="88" spans="1:9" ht="12.75">
      <c r="A88" s="276"/>
      <c r="B88" s="277"/>
      <c r="C88" s="278"/>
      <c r="D88" s="279"/>
      <c r="E88" s="277"/>
      <c r="F88" s="277"/>
      <c r="G88" s="277"/>
      <c r="H88" s="277"/>
      <c r="I88" s="277"/>
    </row>
    <row r="89" spans="1:9" ht="12.75">
      <c r="A89" s="276"/>
      <c r="B89" s="277"/>
      <c r="C89" s="278"/>
      <c r="D89" s="279"/>
      <c r="E89" s="277"/>
      <c r="F89" s="277"/>
      <c r="G89" s="277"/>
      <c r="H89" s="277"/>
      <c r="I89" s="277"/>
    </row>
    <row r="90" spans="1:9" ht="12.75">
      <c r="A90" s="276"/>
      <c r="B90" s="277"/>
      <c r="C90" s="278"/>
      <c r="D90" s="279"/>
      <c r="E90" s="277"/>
      <c r="F90" s="277"/>
      <c r="G90" s="277"/>
      <c r="H90" s="277"/>
      <c r="I90" s="277"/>
    </row>
    <row r="91" spans="1:9" ht="12.75">
      <c r="A91" s="276"/>
      <c r="B91" s="277"/>
      <c r="C91" s="278"/>
      <c r="D91" s="279"/>
      <c r="E91" s="277"/>
      <c r="F91" s="277"/>
      <c r="G91" s="277"/>
      <c r="H91" s="277"/>
      <c r="I91" s="277"/>
    </row>
    <row r="92" spans="1:9" ht="12.75">
      <c r="A92" s="276"/>
      <c r="B92" s="277"/>
      <c r="C92" s="278"/>
      <c r="D92" s="279"/>
      <c r="E92" s="277"/>
      <c r="F92" s="277"/>
      <c r="G92" s="277"/>
      <c r="H92" s="277"/>
      <c r="I92" s="277"/>
    </row>
    <row r="93" spans="1:9" ht="12.75">
      <c r="A93" s="276"/>
      <c r="B93" s="277"/>
      <c r="C93" s="278"/>
      <c r="D93" s="279"/>
      <c r="E93" s="277"/>
      <c r="F93" s="277"/>
      <c r="G93" s="277"/>
      <c r="H93" s="277"/>
      <c r="I93" s="277"/>
    </row>
    <row r="94" spans="1:9" ht="12.75">
      <c r="A94" s="276"/>
      <c r="B94" s="277"/>
      <c r="C94" s="278"/>
      <c r="D94" s="279"/>
      <c r="E94" s="277"/>
      <c r="F94" s="277"/>
      <c r="G94" s="277"/>
      <c r="H94" s="277"/>
      <c r="I94" s="277"/>
    </row>
    <row r="95" spans="1:9" ht="12.75">
      <c r="A95" s="276"/>
      <c r="B95" s="277"/>
      <c r="C95" s="278"/>
      <c r="D95" s="279"/>
      <c r="E95" s="277"/>
      <c r="F95" s="277"/>
      <c r="G95" s="277"/>
      <c r="H95" s="277"/>
      <c r="I95" s="277"/>
    </row>
    <row r="96" spans="1:9" ht="12.75">
      <c r="A96" s="276"/>
      <c r="B96" s="277"/>
      <c r="C96" s="278"/>
      <c r="D96" s="279"/>
      <c r="E96" s="277"/>
      <c r="F96" s="277"/>
      <c r="G96" s="277"/>
      <c r="H96" s="277"/>
      <c r="I96" s="277"/>
    </row>
    <row r="97" spans="1:9" ht="12.75">
      <c r="A97" s="276"/>
      <c r="B97" s="277"/>
      <c r="C97" s="278"/>
      <c r="D97" s="279"/>
      <c r="E97" s="277"/>
      <c r="F97" s="277"/>
      <c r="G97" s="277"/>
      <c r="H97" s="277"/>
      <c r="I97" s="277"/>
    </row>
    <row r="98" spans="1:9" ht="12.75">
      <c r="A98" s="276"/>
      <c r="B98" s="277"/>
      <c r="C98" s="278"/>
      <c r="D98" s="279"/>
      <c r="E98" s="277"/>
      <c r="F98" s="277"/>
      <c r="G98" s="277"/>
      <c r="H98" s="277"/>
      <c r="I98" s="277"/>
    </row>
    <row r="99" spans="1:9" ht="12.75">
      <c r="A99" s="276"/>
      <c r="B99" s="277"/>
      <c r="C99" s="278"/>
      <c r="D99" s="279"/>
      <c r="E99" s="277"/>
      <c r="F99" s="277"/>
      <c r="G99" s="277"/>
      <c r="H99" s="277"/>
      <c r="I99" s="277"/>
    </row>
    <row r="100" spans="1:9" ht="12.75">
      <c r="A100" s="276"/>
      <c r="B100" s="277"/>
      <c r="C100" s="278"/>
      <c r="D100" s="279"/>
      <c r="E100" s="277"/>
      <c r="F100" s="277"/>
      <c r="G100" s="277"/>
      <c r="H100" s="277"/>
      <c r="I100" s="277"/>
    </row>
    <row r="101" spans="1:9" ht="12.75">
      <c r="A101" s="276"/>
      <c r="B101" s="277"/>
      <c r="C101" s="278"/>
      <c r="D101" s="279"/>
      <c r="E101" s="277"/>
      <c r="F101" s="277"/>
      <c r="G101" s="277"/>
      <c r="H101" s="277"/>
      <c r="I101" s="277"/>
    </row>
    <row r="102" spans="1:9" ht="12.75">
      <c r="A102" s="276"/>
      <c r="B102" s="277"/>
      <c r="C102" s="278"/>
      <c r="D102" s="279"/>
      <c r="E102" s="277"/>
      <c r="F102" s="277"/>
      <c r="G102" s="277"/>
      <c r="H102" s="277"/>
      <c r="I102" s="277"/>
    </row>
    <row r="103" spans="1:9" ht="12.75">
      <c r="A103" s="276"/>
      <c r="B103" s="277"/>
      <c r="C103" s="278"/>
      <c r="D103" s="279"/>
      <c r="E103" s="277"/>
      <c r="F103" s="277"/>
      <c r="G103" s="277"/>
      <c r="H103" s="277"/>
      <c r="I103" s="277"/>
    </row>
    <row r="104" spans="1:9" ht="12.75">
      <c r="A104" s="276"/>
      <c r="B104" s="277"/>
      <c r="C104" s="278"/>
      <c r="D104" s="279"/>
      <c r="E104" s="277"/>
      <c r="F104" s="277"/>
      <c r="G104" s="277"/>
      <c r="H104" s="277"/>
      <c r="I104" s="277"/>
    </row>
    <row r="105" spans="1:9" ht="12.75">
      <c r="A105" s="276"/>
      <c r="B105" s="277"/>
      <c r="C105" s="278"/>
      <c r="D105" s="279"/>
      <c r="E105" s="277"/>
      <c r="F105" s="277"/>
      <c r="G105" s="277"/>
      <c r="H105" s="277"/>
      <c r="I105" s="277"/>
    </row>
    <row r="106" spans="1:9" ht="12.75">
      <c r="A106" s="276"/>
      <c r="B106" s="277"/>
      <c r="C106" s="278"/>
      <c r="D106" s="279"/>
      <c r="E106" s="277"/>
      <c r="F106" s="277"/>
      <c r="G106" s="277"/>
      <c r="H106" s="277"/>
      <c r="I106" s="277"/>
    </row>
    <row r="107" spans="1:9" ht="12.75">
      <c r="A107" s="276"/>
      <c r="B107" s="277"/>
      <c r="C107" s="278"/>
      <c r="D107" s="279"/>
      <c r="E107" s="277"/>
      <c r="F107" s="277"/>
      <c r="G107" s="277"/>
      <c r="H107" s="277"/>
      <c r="I107" s="277"/>
    </row>
    <row r="108" spans="1:9" ht="12.75">
      <c r="A108" s="276"/>
      <c r="B108" s="277"/>
      <c r="C108" s="278"/>
      <c r="D108" s="279"/>
      <c r="E108" s="277"/>
      <c r="F108" s="277"/>
      <c r="G108" s="277"/>
      <c r="H108" s="277"/>
      <c r="I108" s="277"/>
    </row>
  </sheetData>
  <sheetProtection password="E9AA" sheet="1" objects="1" scenarios="1" selectLockedCells="1"/>
  <customSheetViews>
    <customSheetView guid="{77FD295D-1BCD-41C6-B306-76E0FF93C8E4}" scale="93" showPageBreaks="1" showGridLines="0" printArea="1" view="pageBreakPreview">
      <selection activeCell="A2" sqref="A2"/>
      <pageMargins left="0.43307086614173229" right="0" top="0.78740157480314965" bottom="0.55118110236220474" header="0" footer="0.35433070866141736"/>
      <printOptions horizontalCentered="1"/>
      <pageSetup paperSize="9" scale="75" fitToHeight="0" orientation="landscape" horizontalDpi="300" verticalDpi="300" r:id="rId1"/>
      <headerFooter alignWithMargins="0"/>
    </customSheetView>
  </customSheetViews>
  <mergeCells count="10">
    <mergeCell ref="A3:I3"/>
    <mergeCell ref="A33:I33"/>
    <mergeCell ref="A34:I34"/>
    <mergeCell ref="A13:I13"/>
    <mergeCell ref="A11:I11"/>
    <mergeCell ref="A26:D26"/>
    <mergeCell ref="A22:B22"/>
    <mergeCell ref="A23:D23"/>
    <mergeCell ref="A24:D24"/>
    <mergeCell ref="A25:D25"/>
  </mergeCells>
  <phoneticPr fontId="0" type="noConversion"/>
  <printOptions horizontalCentered="1" verticalCentered="1"/>
  <pageMargins left="0.43307086614173229" right="0" top="0.78740157480314965" bottom="0.55118110236220474" header="0" footer="0.35433070866141736"/>
  <pageSetup paperSize="9" scale="75" fitToHeight="0" orientation="landscape" verticalDpi="598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J30"/>
  <sheetViews>
    <sheetView showGridLines="0" view="pageLayout" topLeftCell="A7" zoomScale="130" zoomScaleSheetLayoutView="130" zoomScalePageLayoutView="130" workbookViewId="0">
      <selection activeCell="G23" sqref="G23"/>
    </sheetView>
  </sheetViews>
  <sheetFormatPr defaultColWidth="9.140625" defaultRowHeight="11.25"/>
  <cols>
    <col min="1" max="1" width="8.7109375" style="233" customWidth="1"/>
    <col min="2" max="2" width="38" style="16" customWidth="1"/>
    <col min="3" max="3" width="9.140625" style="16" hidden="1" customWidth="1"/>
    <col min="4" max="4" width="8.140625" style="23" hidden="1" customWidth="1"/>
    <col min="5" max="5" width="10.85546875" style="23" hidden="1" customWidth="1"/>
    <col min="6" max="6" width="20.42578125" style="23" customWidth="1"/>
    <col min="7" max="7" width="38" style="16" customWidth="1"/>
    <col min="8" max="8" width="9.140625" style="16"/>
    <col min="9" max="9" width="11.140625" style="16" bestFit="1" customWidth="1"/>
    <col min="10" max="10" width="9.140625" style="16"/>
    <col min="11" max="11" width="9.85546875" style="16" bestFit="1" customWidth="1"/>
    <col min="12" max="16384" width="9.140625" style="16"/>
  </cols>
  <sheetData>
    <row r="1" spans="1:10" s="3" customFormat="1" ht="54.75" customHeight="1">
      <c r="A1" s="54"/>
      <c r="B1" s="232" t="s">
        <v>222</v>
      </c>
      <c r="C1" s="57"/>
      <c r="D1" s="54"/>
      <c r="E1" s="1"/>
      <c r="F1" s="1"/>
    </row>
    <row r="2" spans="1:10" s="2" customFormat="1" ht="15" customHeight="1">
      <c r="A2" s="182"/>
      <c r="B2" s="184"/>
      <c r="C2" s="183"/>
      <c r="D2" s="183"/>
      <c r="E2" s="183"/>
      <c r="F2" s="183"/>
      <c r="G2" s="183"/>
    </row>
    <row r="3" spans="1:10" s="2" customFormat="1" ht="13.15" customHeight="1">
      <c r="A3" s="182"/>
      <c r="B3" s="184"/>
      <c r="C3" s="183"/>
      <c r="D3" s="183"/>
      <c r="E3" s="183"/>
      <c r="F3" s="183"/>
      <c r="G3" s="183"/>
    </row>
    <row r="4" spans="1:10" s="2" customFormat="1" ht="15.75">
      <c r="A4" s="385" t="str">
        <f>'Planilha Orçamentária'!A3:L3</f>
        <v>ÓRGÃO CONTRATANTE: SEÇÃO JUDICIÁRIA DO ESTADO DO AMAPÁ</v>
      </c>
      <c r="B4" s="385"/>
      <c r="C4" s="385"/>
      <c r="D4" s="385"/>
      <c r="E4" s="385"/>
      <c r="F4" s="385"/>
      <c r="G4" s="385"/>
    </row>
    <row r="5" spans="1:10" s="2" customFormat="1" ht="12.75">
      <c r="A5" s="185"/>
      <c r="B5" s="186"/>
      <c r="C5" s="187"/>
      <c r="D5" s="188"/>
      <c r="E5" s="189"/>
      <c r="F5" s="189"/>
      <c r="G5" s="190"/>
    </row>
    <row r="6" spans="1:10" s="2" customFormat="1" ht="18" customHeight="1">
      <c r="A6" s="388" t="str">
        <f>'Planilha Orçamentária'!A8</f>
        <v>NOME DA EMPRESA:</v>
      </c>
      <c r="B6" s="389"/>
      <c r="C6" s="389"/>
      <c r="D6" s="389"/>
      <c r="E6" s="389"/>
      <c r="F6" s="389"/>
      <c r="G6" s="389"/>
      <c r="H6" s="1"/>
      <c r="I6" s="1"/>
      <c r="J6" s="1"/>
    </row>
    <row r="7" spans="1:10" s="2" customFormat="1" ht="12.75">
      <c r="A7" s="394" t="str">
        <f>'Planilha Orçamentária'!B9</f>
        <v>XX.YYY.ZZZ/AAAA-BB</v>
      </c>
      <c r="B7" s="394"/>
      <c r="C7" s="394"/>
      <c r="D7" s="394"/>
      <c r="E7" s="394"/>
      <c r="F7" s="394"/>
      <c r="G7" s="394"/>
      <c r="H7" s="157"/>
      <c r="I7" s="157"/>
      <c r="J7" s="157"/>
    </row>
    <row r="8" spans="1:10" s="2" customFormat="1" ht="12.75">
      <c r="A8" s="191"/>
      <c r="B8" s="192"/>
      <c r="C8" s="192"/>
      <c r="D8" s="192"/>
      <c r="E8" s="192"/>
      <c r="F8" s="192"/>
      <c r="G8" s="192"/>
      <c r="H8" s="59"/>
      <c r="I8" s="59"/>
      <c r="J8" s="59"/>
    </row>
    <row r="9" spans="1:10" s="2" customFormat="1" ht="12.75">
      <c r="A9" s="193"/>
      <c r="B9" s="194"/>
      <c r="C9" s="194"/>
      <c r="D9" s="194"/>
      <c r="E9" s="194"/>
      <c r="F9" s="194"/>
      <c r="G9" s="194"/>
    </row>
    <row r="10" spans="1:10" s="2" customFormat="1" ht="12.75">
      <c r="A10" s="195" t="s">
        <v>202</v>
      </c>
      <c r="B10" s="196" t="str">
        <f>'Planilha Orçamentária'!A5</f>
        <v>ELABORAÇÃO DE PROJETOS PARA A CONSTRUÇÃO DO EDIFÍCIO SEDE DA SUBSEÇÃO JUDICIÁRIA DE OIAPOQUE</v>
      </c>
      <c r="C10" s="196"/>
      <c r="D10" s="196"/>
      <c r="E10" s="196"/>
      <c r="F10" s="196"/>
      <c r="G10" s="196"/>
    </row>
    <row r="11" spans="1:10" s="2" customFormat="1" ht="12.75">
      <c r="A11" s="195" t="s">
        <v>213</v>
      </c>
      <c r="B11" s="192"/>
      <c r="C11" s="194"/>
      <c r="D11" s="194"/>
      <c r="E11" s="194"/>
      <c r="F11" s="192">
        <f>'Planilha Orçamentária'!I14</f>
        <v>120</v>
      </c>
      <c r="G11" s="194"/>
    </row>
    <row r="12" spans="1:10" s="2" customFormat="1" ht="12.75">
      <c r="A12" s="192" t="s">
        <v>208</v>
      </c>
      <c r="B12" s="194"/>
      <c r="C12" s="194"/>
      <c r="D12" s="194"/>
      <c r="E12" s="194"/>
      <c r="F12" s="197" t="str">
        <f>'Planilha Orçamentária'!I9</f>
        <v>dd/mm/aaaa</v>
      </c>
      <c r="G12" s="194"/>
    </row>
    <row r="13" spans="1:10" s="2" customFormat="1" ht="12.75">
      <c r="A13" s="158"/>
      <c r="B13" s="157"/>
      <c r="C13" s="157"/>
      <c r="D13" s="157"/>
      <c r="E13" s="157"/>
      <c r="F13" s="157"/>
      <c r="G13" s="157"/>
    </row>
    <row r="14" spans="1:10" ht="24.75" customHeight="1">
      <c r="A14" s="393" t="s">
        <v>3</v>
      </c>
      <c r="B14" s="393"/>
      <c r="C14" s="393"/>
      <c r="D14" s="393"/>
      <c r="E14" s="393"/>
      <c r="F14" s="393"/>
      <c r="G14" s="393"/>
    </row>
    <row r="15" spans="1:10" ht="24.75" customHeight="1">
      <c r="A15" s="159"/>
      <c r="B15" s="159"/>
      <c r="C15" s="159"/>
      <c r="D15" s="159"/>
      <c r="E15" s="159"/>
      <c r="F15" s="159"/>
      <c r="G15" s="159"/>
    </row>
    <row r="16" spans="1:10" ht="12.75">
      <c r="A16" s="392" t="s">
        <v>39</v>
      </c>
      <c r="B16" s="392"/>
      <c r="C16" s="392"/>
      <c r="D16" s="392"/>
      <c r="E16" s="392"/>
      <c r="F16" s="392"/>
      <c r="G16" s="392"/>
    </row>
    <row r="17" spans="1:7" ht="18" customHeight="1">
      <c r="A17" s="160" t="s">
        <v>4</v>
      </c>
      <c r="B17" s="161" t="s">
        <v>5</v>
      </c>
      <c r="C17" s="160" t="s">
        <v>6</v>
      </c>
      <c r="D17" s="162" t="s">
        <v>7</v>
      </c>
      <c r="E17" s="162" t="s">
        <v>8</v>
      </c>
      <c r="F17" s="163" t="s">
        <v>199</v>
      </c>
      <c r="G17" s="164" t="s">
        <v>253</v>
      </c>
    </row>
    <row r="18" spans="1:7" ht="15.75" customHeight="1">
      <c r="A18" s="165" t="s">
        <v>21</v>
      </c>
      <c r="B18" s="166" t="s">
        <v>47</v>
      </c>
      <c r="C18" s="167"/>
      <c r="D18" s="168"/>
      <c r="E18" s="168"/>
      <c r="F18" s="173">
        <f>'Planilha Orçamentária'!I21</f>
        <v>8887.0730399999993</v>
      </c>
      <c r="G18" s="169">
        <f>F18/$F$23</f>
        <v>5.0075112669003496E-2</v>
      </c>
    </row>
    <row r="19" spans="1:7" ht="17.25" customHeight="1">
      <c r="A19" s="170" t="s">
        <v>22</v>
      </c>
      <c r="B19" s="171" t="s">
        <v>51</v>
      </c>
      <c r="C19" s="171"/>
      <c r="D19" s="171"/>
      <c r="E19" s="171"/>
      <c r="F19" s="172">
        <f>'Planilha Orçamentária'!I30</f>
        <v>26572.348389600025</v>
      </c>
      <c r="G19" s="169">
        <f t="shared" ref="G19:G22" si="0">F19/$F$23</f>
        <v>0.14972458688032061</v>
      </c>
    </row>
    <row r="20" spans="1:7" ht="15.95" customHeight="1">
      <c r="A20" s="165" t="s">
        <v>23</v>
      </c>
      <c r="B20" s="166" t="s">
        <v>52</v>
      </c>
      <c r="C20" s="166"/>
      <c r="D20" s="166"/>
      <c r="E20" s="166"/>
      <c r="F20" s="173">
        <f>'Planilha Orçamentária'!I57</f>
        <v>79894.786629599999</v>
      </c>
      <c r="G20" s="169">
        <f t="shared" si="0"/>
        <v>0.45017526289434151</v>
      </c>
    </row>
    <row r="21" spans="1:7" ht="15.95" customHeight="1">
      <c r="A21" s="165" t="s">
        <v>24</v>
      </c>
      <c r="B21" s="166" t="s">
        <v>56</v>
      </c>
      <c r="C21" s="166"/>
      <c r="D21" s="166"/>
      <c r="E21" s="166"/>
      <c r="F21" s="173">
        <f>'Planilha Orçamentária'!I89</f>
        <v>44346.494469600009</v>
      </c>
      <c r="G21" s="169">
        <f t="shared" si="0"/>
        <v>0.24987481221832752</v>
      </c>
    </row>
    <row r="22" spans="1:7" ht="15.75" customHeight="1">
      <c r="A22" s="170" t="s">
        <v>25</v>
      </c>
      <c r="B22" s="174" t="s">
        <v>183</v>
      </c>
      <c r="C22" s="171"/>
      <c r="D22" s="171"/>
      <c r="E22" s="171"/>
      <c r="F22" s="172">
        <f>'Planilha Orçamentária'!I123</f>
        <v>17774.146080000002</v>
      </c>
      <c r="G22" s="169">
        <f t="shared" si="0"/>
        <v>0.10015022533800702</v>
      </c>
    </row>
    <row r="23" spans="1:7" ht="15.95" customHeight="1">
      <c r="A23" s="390" t="s">
        <v>200</v>
      </c>
      <c r="B23" s="391"/>
      <c r="C23" s="391"/>
      <c r="D23" s="391"/>
      <c r="E23" s="391"/>
      <c r="F23" s="215">
        <f>'Planilha Orçamentária'!I131</f>
        <v>177474.84860880001</v>
      </c>
      <c r="G23" s="216">
        <f>SUM(G18:G22)</f>
        <v>1.0000000000000002</v>
      </c>
    </row>
    <row r="24" spans="1:7">
      <c r="A24" s="21"/>
      <c r="B24" s="175"/>
      <c r="C24" s="175"/>
      <c r="D24" s="176"/>
      <c r="E24" s="176"/>
      <c r="F24" s="176"/>
    </row>
    <row r="25" spans="1:7">
      <c r="A25" s="21"/>
      <c r="B25" s="175"/>
      <c r="C25" s="175"/>
      <c r="D25" s="176"/>
      <c r="E25" s="176"/>
      <c r="F25" s="176"/>
    </row>
    <row r="26" spans="1:7">
      <c r="B26" s="175"/>
      <c r="C26" s="175"/>
      <c r="D26" s="176"/>
      <c r="E26" s="176"/>
      <c r="F26" s="176"/>
      <c r="G26" s="172"/>
    </row>
    <row r="27" spans="1:7" ht="23.45" customHeight="1">
      <c r="B27" s="175"/>
      <c r="C27" s="175"/>
      <c r="D27" s="176"/>
      <c r="E27" s="176"/>
      <c r="F27" s="177"/>
    </row>
    <row r="28" spans="1:7">
      <c r="A28" s="386" t="str">
        <f>'Planilha Orçamentária'!G8</f>
        <v>NOME DO RESP. TÉCN.</v>
      </c>
      <c r="B28" s="386"/>
      <c r="C28" s="386"/>
      <c r="D28" s="386"/>
      <c r="E28" s="386"/>
      <c r="F28" s="386"/>
      <c r="G28" s="386"/>
    </row>
    <row r="29" spans="1:7">
      <c r="A29" s="387" t="str">
        <f>'Planilha Orçamentária'!L8</f>
        <v>N. CAU/CREA</v>
      </c>
      <c r="B29" s="387"/>
      <c r="C29" s="387"/>
      <c r="D29" s="387"/>
      <c r="E29" s="387"/>
      <c r="F29" s="387"/>
      <c r="G29" s="387"/>
    </row>
    <row r="30" spans="1:7">
      <c r="B30" s="178"/>
      <c r="C30" s="178"/>
      <c r="D30" s="179"/>
      <c r="E30" s="179"/>
      <c r="F30" s="179"/>
    </row>
  </sheetData>
  <sheetProtection password="E9AA" sheet="1" objects="1" scenarios="1" selectLockedCells="1"/>
  <customSheetViews>
    <customSheetView guid="{77FD295D-1BCD-41C6-B306-76E0FF93C8E4}" scale="85" showPageBreaks="1" showGridLines="0" fitToPage="1" printArea="1" hiddenColumns="1" view="pageBreakPreview">
      <selection activeCell="A3" sqref="A3:A4"/>
      <pageMargins left="0.39370078740157483" right="0.39370078740157483" top="0.39370078740157483" bottom="0.39370078740157483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8">
    <mergeCell ref="A4:G4"/>
    <mergeCell ref="A28:G28"/>
    <mergeCell ref="A29:G29"/>
    <mergeCell ref="A6:G6"/>
    <mergeCell ref="A23:E23"/>
    <mergeCell ref="A16:G16"/>
    <mergeCell ref="A14:G14"/>
    <mergeCell ref="A7:G7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verticalDpi="598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E29"/>
  <sheetViews>
    <sheetView view="pageLayout" zoomScale="145" zoomScaleSheetLayoutView="115" zoomScalePageLayoutView="145" workbookViewId="0">
      <selection activeCell="A4" sqref="A4:XFD4"/>
    </sheetView>
  </sheetViews>
  <sheetFormatPr defaultColWidth="9.140625" defaultRowHeight="12.75"/>
  <cols>
    <col min="1" max="1" width="7.28515625" style="41" customWidth="1"/>
    <col min="2" max="2" width="3.5703125" style="41" customWidth="1"/>
    <col min="3" max="3" width="32.5703125" style="49" customWidth="1"/>
    <col min="4" max="4" width="18.5703125" style="41" customWidth="1"/>
    <col min="5" max="5" width="20" style="41" customWidth="1"/>
    <col min="6" max="16384" width="9.140625" style="41"/>
  </cols>
  <sheetData>
    <row r="1" spans="1:5" s="3" customFormat="1" ht="41.45" customHeight="1">
      <c r="A1" s="1"/>
      <c r="B1" s="398" t="s">
        <v>215</v>
      </c>
      <c r="C1" s="399"/>
      <c r="D1" s="1"/>
      <c r="E1" s="1"/>
    </row>
    <row r="2" spans="1:5" s="3" customFormat="1" ht="15">
      <c r="A2" s="1"/>
      <c r="C2" s="39"/>
      <c r="D2" s="1"/>
      <c r="E2" s="1"/>
    </row>
    <row r="3" spans="1:5" s="3" customFormat="1" ht="15">
      <c r="A3" s="1"/>
      <c r="C3" s="39"/>
      <c r="D3" s="1"/>
      <c r="E3" s="1"/>
    </row>
    <row r="4" spans="1:5" s="285" customFormat="1">
      <c r="A4" s="285" t="str">
        <f>'Planilha Orçamentária'!A3</f>
        <v>ÓRGÃO CONTRATANTE: SEÇÃO JUDICIÁRIA DO ESTADO DO AMAPÁ</v>
      </c>
      <c r="C4" s="286"/>
      <c r="E4" s="287"/>
    </row>
    <row r="6" spans="1:5" s="43" customFormat="1" ht="16.899999999999999" customHeight="1">
      <c r="A6" s="93" t="s">
        <v>114</v>
      </c>
      <c r="B6" s="42"/>
      <c r="C6" s="180" t="str">
        <f>'Planilha Orçamentária'!A8</f>
        <v>NOME DA EMPRESA:</v>
      </c>
      <c r="D6" s="42"/>
      <c r="E6" s="42"/>
    </row>
    <row r="7" spans="1:5" s="43" customFormat="1" ht="21" customHeight="1">
      <c r="A7" s="44" t="s">
        <v>188</v>
      </c>
      <c r="B7" s="44"/>
      <c r="C7" s="181" t="str">
        <f>'Planilha Orçamentária'!B9</f>
        <v>XX.YYY.ZZZ/AAAA-BB</v>
      </c>
      <c r="D7" s="44"/>
      <c r="E7" s="44"/>
    </row>
    <row r="8" spans="1:5" s="43" customFormat="1">
      <c r="A8" s="408"/>
      <c r="B8" s="408"/>
      <c r="C8" s="408"/>
      <c r="D8" s="408"/>
      <c r="E8" s="408"/>
    </row>
    <row r="9" spans="1:5" s="43" customFormat="1">
      <c r="A9" s="45"/>
      <c r="B9" s="45"/>
      <c r="C9" s="45"/>
      <c r="D9" s="45"/>
      <c r="E9" s="45"/>
    </row>
    <row r="10" spans="1:5" s="46" customFormat="1" ht="34.15" customHeight="1">
      <c r="A10" s="409" t="str">
        <f>'Planilha Orçamentária'!A5:L5</f>
        <v>ELABORAÇÃO DE PROJETOS PARA A CONSTRUÇÃO DO EDIFÍCIO SEDE DA SUBSEÇÃO JUDICIÁRIA DE OIAPOQUE</v>
      </c>
      <c r="B10" s="409"/>
      <c r="C10" s="409"/>
      <c r="D10" s="409"/>
      <c r="E10" s="409"/>
    </row>
    <row r="11" spans="1:5" s="46" customFormat="1">
      <c r="A11" s="51"/>
      <c r="B11" s="51"/>
      <c r="C11" s="51"/>
      <c r="D11" s="51"/>
      <c r="E11" s="51"/>
    </row>
    <row r="12" spans="1:5" s="46" customFormat="1" ht="15">
      <c r="B12" s="51" t="str">
        <f>'Planilha Orçamentária'!E14</f>
        <v xml:space="preserve">PRAZO DE EXECUÇÃO-DIAS CORRIDOS: </v>
      </c>
      <c r="C12" s="51"/>
      <c r="D12" s="53">
        <f>'Planilha Orçamentária'!I14</f>
        <v>120</v>
      </c>
      <c r="E12" s="51"/>
    </row>
    <row r="13" spans="1:5" s="46" customFormat="1">
      <c r="B13" s="51" t="str">
        <f>'Planilha Orçamentária'!E9</f>
        <v>DATA DA APRES. DA PROPOSTA:</v>
      </c>
      <c r="C13" s="51"/>
      <c r="D13" s="90" t="str">
        <f>'Planilha Orçamentária'!I9</f>
        <v>dd/mm/aaaa</v>
      </c>
      <c r="E13" s="51"/>
    </row>
    <row r="14" spans="1:5" s="46" customFormat="1">
      <c r="A14" s="47"/>
      <c r="B14" s="47"/>
      <c r="C14" s="48"/>
      <c r="D14" s="47"/>
      <c r="E14" s="47"/>
    </row>
    <row r="15" spans="1:5" s="43" customFormat="1">
      <c r="A15" s="401"/>
      <c r="B15" s="401"/>
      <c r="C15" s="401"/>
      <c r="D15" s="401"/>
      <c r="E15" s="401"/>
    </row>
    <row r="16" spans="1:5" s="43" customFormat="1" ht="15.75" customHeight="1">
      <c r="A16" s="396" t="s">
        <v>201</v>
      </c>
      <c r="B16" s="396"/>
      <c r="C16" s="396"/>
      <c r="D16" s="91"/>
      <c r="E16" s="92">
        <f>'Planilha Orçamentária'!I131</f>
        <v>177474.84860880001</v>
      </c>
    </row>
    <row r="17" spans="1:5" ht="15.75" customHeight="1">
      <c r="D17" s="50"/>
    </row>
    <row r="18" spans="1:5" ht="15.75" customHeight="1">
      <c r="D18" s="50"/>
    </row>
    <row r="19" spans="1:5" ht="15.75" customHeight="1">
      <c r="C19" s="52"/>
    </row>
    <row r="20" spans="1:5" ht="15.75" customHeight="1"/>
    <row r="21" spans="1:5" ht="15.75" customHeight="1">
      <c r="A21" s="402"/>
      <c r="B21" s="403"/>
      <c r="C21" s="403"/>
      <c r="D21" s="403"/>
      <c r="E21" s="403"/>
    </row>
    <row r="22" spans="1:5" ht="15.75" customHeight="1">
      <c r="A22" s="404" t="str">
        <f>'Planilha Orçamentária'!G8</f>
        <v>NOME DO RESP. TÉCN.</v>
      </c>
      <c r="B22" s="405"/>
      <c r="C22" s="405"/>
      <c r="D22" s="405"/>
      <c r="E22" s="405"/>
    </row>
    <row r="23" spans="1:5" ht="15.75" customHeight="1">
      <c r="A23" s="397" t="str">
        <f>'Planilha Orçamentária'!L8</f>
        <v>N. CAU/CREA</v>
      </c>
      <c r="B23" s="397"/>
      <c r="C23" s="397"/>
      <c r="D23" s="397"/>
      <c r="E23" s="397"/>
    </row>
    <row r="24" spans="1:5">
      <c r="A24" s="406"/>
      <c r="B24" s="406"/>
      <c r="C24" s="406"/>
      <c r="D24" s="406"/>
      <c r="E24" s="406"/>
    </row>
    <row r="25" spans="1:5">
      <c r="A25" s="406"/>
      <c r="B25" s="406"/>
      <c r="C25" s="406"/>
      <c r="D25" s="406"/>
      <c r="E25" s="406"/>
    </row>
    <row r="27" spans="1:5">
      <c r="A27" s="407"/>
      <c r="B27" s="407"/>
      <c r="C27" s="407"/>
      <c r="D27" s="407"/>
      <c r="E27" s="407"/>
    </row>
    <row r="28" spans="1:5">
      <c r="A28" s="400"/>
      <c r="B28" s="400"/>
      <c r="C28" s="400"/>
      <c r="D28" s="400"/>
      <c r="E28" s="400"/>
    </row>
    <row r="29" spans="1:5" s="230" customFormat="1" ht="11.25">
      <c r="A29" s="395" t="s">
        <v>234</v>
      </c>
      <c r="B29" s="395"/>
      <c r="C29" s="395"/>
      <c r="D29" s="395"/>
      <c r="E29" s="395"/>
    </row>
  </sheetData>
  <sheetProtection password="E9AA" sheet="1" objects="1" scenarios="1" selectLockedCells="1"/>
  <customSheetViews>
    <customSheetView guid="{77FD295D-1BCD-41C6-B306-76E0FF93C8E4}" scale="85" showPageBreaks="1" showGridLines="0" printArea="1" view="pageBreakPreview">
      <selection activeCell="A5" sqref="A5:E5"/>
      <rowBreaks count="1" manualBreakCount="1">
        <brk id="37" max="16383" man="1"/>
      </row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111" orientation="landscape" r:id="rId1"/>
      <headerFooter alignWithMargins="0"/>
    </customSheetView>
  </customSheetViews>
  <mergeCells count="13">
    <mergeCell ref="A29:E29"/>
    <mergeCell ref="A16:C16"/>
    <mergeCell ref="A23:E23"/>
    <mergeCell ref="B1:C1"/>
    <mergeCell ref="A28:E28"/>
    <mergeCell ref="A15:E15"/>
    <mergeCell ref="A21:E21"/>
    <mergeCell ref="A22:E22"/>
    <mergeCell ref="A24:E24"/>
    <mergeCell ref="A25:E25"/>
    <mergeCell ref="A27:E27"/>
    <mergeCell ref="A8:E8"/>
    <mergeCell ref="A10:E10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111" orientation="landscape" verticalDpi="598" r:id="rId2"/>
  <headerFooter alignWithMargins="0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Planilha Orçamentária</vt:lpstr>
      <vt:lpstr>Composição do BDI</vt:lpstr>
      <vt:lpstr>Cronograma Físico-Financeiro</vt:lpstr>
      <vt:lpstr>Orçamento Sintético</vt:lpstr>
      <vt:lpstr>CAPA</vt:lpstr>
      <vt:lpstr>CAPA!Area_de_impressao</vt:lpstr>
      <vt:lpstr>'Composição do BDI'!Area_de_impressao</vt:lpstr>
      <vt:lpstr>'Cronograma Físico-Financeiro'!Area_de_impressao</vt:lpstr>
      <vt:lpstr>'Orçamento Sintético'!Area_de_impressao</vt:lpstr>
      <vt:lpstr>'Planilha Orçamentária'!Area_de_impressao</vt:lpstr>
      <vt:lpstr>'Cronograma Físico-Financeiro'!Titulos_de_impressao</vt:lpstr>
      <vt:lpstr>'Orçamento Sintético'!Titulos_de_impressao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LEITE</dc:creator>
  <cp:lastModifiedBy>ap20191</cp:lastModifiedBy>
  <cp:lastPrinted>2015-04-22T12:40:53Z</cp:lastPrinted>
  <dcterms:created xsi:type="dcterms:W3CDTF">2008-04-03T22:40:50Z</dcterms:created>
  <dcterms:modified xsi:type="dcterms:W3CDTF">2015-04-22T17:31:43Z</dcterms:modified>
</cp:coreProperties>
</file>